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aulo\OneDrive\Área de Trabalho\"/>
    </mc:Choice>
  </mc:AlternateContent>
  <bookViews>
    <workbookView xWindow="120" yWindow="108" windowWidth="22920" windowHeight="9084" firstSheet="3" activeTab="5"/>
  </bookViews>
  <sheets>
    <sheet name="JAN-2018" sheetId="1" r:id="rId1"/>
    <sheet name="FEV-2018" sheetId="2" r:id="rId2"/>
    <sheet name="MAR-2018" sheetId="3" r:id="rId3"/>
    <sheet name="ABR-2018" sheetId="4" r:id="rId4"/>
    <sheet name="MAI-2018" sheetId="8" r:id="rId5"/>
    <sheet name="GERAL" sheetId="5" r:id="rId6"/>
    <sheet name="CC-COMPRAS" sheetId="6" r:id="rId7"/>
    <sheet name="CC-COMERCIAL" sheetId="7" r:id="rId8"/>
  </sheets>
  <definedNames>
    <definedName name="_xlnm.Print_Area" localSheetId="1">'FEV-2018'!$A$1:$F$66</definedName>
    <definedName name="_xlnm.Print_Area" localSheetId="5">GERAL!$A$1:$G$93</definedName>
    <definedName name="_xlnm.Print_Area" localSheetId="2">'MAR-2018'!$A$1:$F$62</definedName>
    <definedName name="_xlnm.Print_Titles" localSheetId="5">GERAL!$1:$1</definedName>
  </definedNames>
  <calcPr calcId="162913"/>
</workbook>
</file>

<file path=xl/calcChain.xml><?xml version="1.0" encoding="utf-8"?>
<calcChain xmlns="http://schemas.openxmlformats.org/spreadsheetml/2006/main">
  <c r="G90" i="5" l="1"/>
  <c r="G91" i="5" s="1"/>
  <c r="G86" i="5"/>
  <c r="G85" i="5"/>
  <c r="G84" i="5"/>
  <c r="G87" i="5" s="1"/>
  <c r="G80" i="5"/>
  <c r="G81" i="5" s="1"/>
  <c r="G79" i="5"/>
  <c r="G75" i="5"/>
  <c r="G74" i="5"/>
  <c r="G73" i="5"/>
  <c r="G72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52" i="5" s="1"/>
  <c r="G20" i="5"/>
  <c r="G19" i="5"/>
  <c r="G18" i="5"/>
  <c r="G17" i="5"/>
  <c r="G16" i="5"/>
  <c r="G15" i="5"/>
  <c r="G14" i="5"/>
  <c r="G13" i="5"/>
  <c r="G12" i="5"/>
  <c r="G11" i="5"/>
  <c r="G10" i="5"/>
  <c r="G9" i="5"/>
  <c r="G5" i="5"/>
  <c r="G4" i="5"/>
  <c r="G3" i="5"/>
  <c r="G2" i="5"/>
  <c r="G6" i="5" s="1"/>
  <c r="G21" i="5" l="1"/>
  <c r="G69" i="5"/>
  <c r="G76" i="5"/>
  <c r="G93" i="5"/>
  <c r="F37" i="2"/>
  <c r="F90" i="5" l="1"/>
  <c r="F86" i="5"/>
  <c r="F85" i="5"/>
  <c r="F84" i="5"/>
  <c r="F87" i="5" s="1"/>
  <c r="F80" i="5"/>
  <c r="F79" i="5"/>
  <c r="F75" i="5"/>
  <c r="F74" i="5"/>
  <c r="F73" i="5"/>
  <c r="F72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0" i="5"/>
  <c r="F19" i="5"/>
  <c r="F18" i="5"/>
  <c r="F17" i="5"/>
  <c r="F16" i="5"/>
  <c r="F15" i="5"/>
  <c r="F14" i="5"/>
  <c r="F13" i="5"/>
  <c r="F12" i="5"/>
  <c r="F11" i="5"/>
  <c r="F10" i="5"/>
  <c r="F9" i="5"/>
  <c r="F5" i="5"/>
  <c r="F4" i="5"/>
  <c r="F3" i="5"/>
  <c r="F2" i="5"/>
  <c r="F91" i="5"/>
  <c r="F81" i="5"/>
  <c r="E90" i="5"/>
  <c r="E91" i="5" s="1"/>
  <c r="E86" i="5"/>
  <c r="E85" i="5"/>
  <c r="E84" i="5"/>
  <c r="E80" i="5"/>
  <c r="E79" i="5"/>
  <c r="E75" i="5"/>
  <c r="E74" i="5"/>
  <c r="E73" i="5"/>
  <c r="E72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0" i="5"/>
  <c r="E19" i="5"/>
  <c r="E18" i="5"/>
  <c r="E17" i="5"/>
  <c r="E16" i="5"/>
  <c r="E15" i="5"/>
  <c r="E14" i="5"/>
  <c r="E13" i="5"/>
  <c r="E12" i="5"/>
  <c r="E11" i="5"/>
  <c r="E10" i="5"/>
  <c r="E9" i="5"/>
  <c r="E5" i="5"/>
  <c r="E4" i="5"/>
  <c r="E3" i="5"/>
  <c r="E2" i="5"/>
  <c r="D90" i="5"/>
  <c r="D86" i="5"/>
  <c r="D85" i="5"/>
  <c r="D84" i="5"/>
  <c r="D80" i="5"/>
  <c r="D79" i="5"/>
  <c r="D75" i="5"/>
  <c r="D74" i="5"/>
  <c r="D73" i="5"/>
  <c r="D72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0" i="5"/>
  <c r="D19" i="5"/>
  <c r="D18" i="5"/>
  <c r="D17" i="5"/>
  <c r="D16" i="5"/>
  <c r="D15" i="5"/>
  <c r="D14" i="5"/>
  <c r="D13" i="5"/>
  <c r="D12" i="5"/>
  <c r="D11" i="5"/>
  <c r="D10" i="5"/>
  <c r="D9" i="5"/>
  <c r="D5" i="5"/>
  <c r="D4" i="5"/>
  <c r="D3" i="5"/>
  <c r="D2" i="5"/>
  <c r="D91" i="5"/>
  <c r="C90" i="5"/>
  <c r="C86" i="5"/>
  <c r="C85" i="5"/>
  <c r="C84" i="5"/>
  <c r="C80" i="5"/>
  <c r="C79" i="5"/>
  <c r="C72" i="5"/>
  <c r="C75" i="5"/>
  <c r="C74" i="5"/>
  <c r="C73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0" i="5"/>
  <c r="C19" i="5"/>
  <c r="C18" i="5"/>
  <c r="C17" i="5"/>
  <c r="C16" i="5"/>
  <c r="C15" i="5"/>
  <c r="C14" i="5"/>
  <c r="C13" i="5"/>
  <c r="C12" i="5"/>
  <c r="C11" i="5"/>
  <c r="C10" i="5"/>
  <c r="C9" i="5"/>
  <c r="C5" i="5"/>
  <c r="C4" i="5"/>
  <c r="C3" i="5"/>
  <c r="C2" i="5"/>
  <c r="D81" i="5" l="1"/>
  <c r="E81" i="5"/>
  <c r="F69" i="5"/>
  <c r="F76" i="5"/>
  <c r="D69" i="5"/>
  <c r="E52" i="5"/>
  <c r="F6" i="5"/>
  <c r="F21" i="5"/>
  <c r="F52" i="5"/>
  <c r="E6" i="5"/>
  <c r="E21" i="5"/>
  <c r="E69" i="5"/>
  <c r="E76" i="5"/>
  <c r="E87" i="5"/>
  <c r="D87" i="5"/>
  <c r="D6" i="5"/>
  <c r="D21" i="5"/>
  <c r="D52" i="5"/>
  <c r="D76" i="5"/>
  <c r="C81" i="5"/>
  <c r="C91" i="5"/>
  <c r="C87" i="5"/>
  <c r="C76" i="5"/>
  <c r="C69" i="5"/>
  <c r="C52" i="5"/>
  <c r="C21" i="5"/>
  <c r="C6" i="5"/>
  <c r="F93" i="5" l="1"/>
  <c r="E93" i="5"/>
  <c r="D93" i="5"/>
  <c r="C93" i="5"/>
</calcChain>
</file>

<file path=xl/sharedStrings.xml><?xml version="1.0" encoding="utf-8"?>
<sst xmlns="http://schemas.openxmlformats.org/spreadsheetml/2006/main" count="783" uniqueCount="175">
  <si>
    <t>4.01.0001</t>
  </si>
  <si>
    <t>FIOS - CALÇADISTA</t>
  </si>
  <si>
    <t>4.01.0003</t>
  </si>
  <si>
    <t>PEÇAS/ACESSORIOS - CALÇADISTA</t>
  </si>
  <si>
    <t>4.01.0011</t>
  </si>
  <si>
    <t>TECIDOS - CALÇADISTA</t>
  </si>
  <si>
    <t>4.01.0013</t>
  </si>
  <si>
    <t>TINTURARIA- CALÇADISTA</t>
  </si>
  <si>
    <t>COMPRAS - CALÇADISTA</t>
  </si>
  <si>
    <t>4.02.0001</t>
  </si>
  <si>
    <t>COMISSÕES S/VENDAS - CALÇADISTA</t>
  </si>
  <si>
    <t>4.02.0003</t>
  </si>
  <si>
    <t>FRETES E CARRETOS / TRANSPORTES - CALÇAD</t>
  </si>
  <si>
    <t>4.02.0006</t>
  </si>
  <si>
    <t>VIAGENS,  E ESTADIAS  CALÇADISTA</t>
  </si>
  <si>
    <t>4.02.0014</t>
  </si>
  <si>
    <t>ASSOCIAÇÕES DE CLASSE</t>
  </si>
  <si>
    <t>4.02.0015</t>
  </si>
  <si>
    <t>ALUGUEL - COMERCIAL</t>
  </si>
  <si>
    <t>4.02.0033</t>
  </si>
  <si>
    <t>FRETES TERCEIROS - CONTRATADO</t>
  </si>
  <si>
    <t>COMERCIAL - CALÇADISTA</t>
  </si>
  <si>
    <t>4.04.0001</t>
  </si>
  <si>
    <t>ALUGUEL PREDIO-CALÇADISTA</t>
  </si>
  <si>
    <t>4.04.0004</t>
  </si>
  <si>
    <t>DESPESAS COM SEGURANÇA-CALÇADISTA</t>
  </si>
  <si>
    <t>4.04.0005</t>
  </si>
  <si>
    <t>ENERGIA ELETRICA -CALÇADISTA</t>
  </si>
  <si>
    <t>4.04.0006</t>
  </si>
  <si>
    <t>AGUA E ESGOTO-CALÇADISTA</t>
  </si>
  <si>
    <t>4.04.0008</t>
  </si>
  <si>
    <t>AGUA MINERAL-CALÇADISTA</t>
  </si>
  <si>
    <t>4.04.0009</t>
  </si>
  <si>
    <t>TELEFONES FIXO-CALÇADISTA</t>
  </si>
  <si>
    <t>4.04.0011</t>
  </si>
  <si>
    <t>MANUTENÇÃO REDE/INFORM./ELETRICA-CALÇ</t>
  </si>
  <si>
    <t>4.04.0012</t>
  </si>
  <si>
    <t>MANUTENÇÃO - MAQS. EQUIPAMENTOS - CALÇAD</t>
  </si>
  <si>
    <t>4.04.0013</t>
  </si>
  <si>
    <t>SOFTWARE/MANUTENÇÃO DO SISTEMA-CALÇADIST</t>
  </si>
  <si>
    <t>4.04.0015</t>
  </si>
  <si>
    <t>MATERIAL DE ESCRITORIO-CALÇADISTA</t>
  </si>
  <si>
    <t>4.04.0021</t>
  </si>
  <si>
    <t>REEMBOLSO DESP.VIAGEM-CALÇADISTA</t>
  </si>
  <si>
    <t>4.04.0025</t>
  </si>
  <si>
    <t>PRO LABORE-CALÇADISTA</t>
  </si>
  <si>
    <t>4.04.0031</t>
  </si>
  <si>
    <t>LIMPEZA/MANUTENÇÃO PREDIAL-CALÇADISTA</t>
  </si>
  <si>
    <t>4.04.0033</t>
  </si>
  <si>
    <t>CONTABILIDADE-CALÇADISTA</t>
  </si>
  <si>
    <t>4.04.0041</t>
  </si>
  <si>
    <t>OUTRAS DESP.DE MANUT.PREDIAL-CALÇADISTA</t>
  </si>
  <si>
    <t>4.04.0042</t>
  </si>
  <si>
    <t>LANCHES E REFEIÇÕES-CALÇADISTA</t>
  </si>
  <si>
    <t>4.04.0044</t>
  </si>
  <si>
    <t>SU´RIMENTOS DE INFORM./XEROX-CALÇADISTA</t>
  </si>
  <si>
    <t>4.04.0048</t>
  </si>
  <si>
    <t>SCPC/SERASA-CALÇADISTA</t>
  </si>
  <si>
    <t>4.04.0054</t>
  </si>
  <si>
    <t>OUTRAS DESPESAS</t>
  </si>
  <si>
    <t>DESPESAS ADMINISTRATIVAS - CALÇADISTA</t>
  </si>
  <si>
    <t>4.05.0001</t>
  </si>
  <si>
    <t>SALARIOS</t>
  </si>
  <si>
    <t>4.05.0002</t>
  </si>
  <si>
    <t>ADIANTAMENTOS</t>
  </si>
  <si>
    <t>4.05.0004</t>
  </si>
  <si>
    <t>HORAS EXTRAS</t>
  </si>
  <si>
    <t>4.05.0005</t>
  </si>
  <si>
    <t>RESCISAO TRABALHISTA - CALÇADISTA</t>
  </si>
  <si>
    <t>4.05.0007</t>
  </si>
  <si>
    <t>I.N.S.S.</t>
  </si>
  <si>
    <t>4.05.0012</t>
  </si>
  <si>
    <t>VALE TRANSPORTE</t>
  </si>
  <si>
    <t>4.05.0013</t>
  </si>
  <si>
    <t>CESTA BASICA</t>
  </si>
  <si>
    <t>4.05.0014</t>
  </si>
  <si>
    <t>CONVENIO MEDICO</t>
  </si>
  <si>
    <t>4.05.0025</t>
  </si>
  <si>
    <t>EXAME MEDICO</t>
  </si>
  <si>
    <t>4.05.0033</t>
  </si>
  <si>
    <t>I.R.R.F. S/SALARIO</t>
  </si>
  <si>
    <t>RECURSOS HUMANOS - CALÇADISTA</t>
  </si>
  <si>
    <t>4.06.0002</t>
  </si>
  <si>
    <t>LIS/JUROS</t>
  </si>
  <si>
    <t>4.06.0005</t>
  </si>
  <si>
    <t>TARIFAS-CALÇADISTA</t>
  </si>
  <si>
    <t>4.06.0006</t>
  </si>
  <si>
    <t>EMPRESTIMOS / FINANCIAMENTOS</t>
  </si>
  <si>
    <t>4.06.0007</t>
  </si>
  <si>
    <t>I.O.F. - CALÇADISTA</t>
  </si>
  <si>
    <t>DESPESAS FINANCEIRAS - CALÇADISTA</t>
  </si>
  <si>
    <t>4.07.0001</t>
  </si>
  <si>
    <t>I.C.M.S.</t>
  </si>
  <si>
    <t>DESPESAS TRIBUTARIAS - CALÇADISTA</t>
  </si>
  <si>
    <t>4.12.0002</t>
  </si>
  <si>
    <t>VEICULOS</t>
  </si>
  <si>
    <t>4.12.0003</t>
  </si>
  <si>
    <t>MAQUINAS E EQUIPAMENTOS</t>
  </si>
  <si>
    <t>PATRIMONIO - CALÇADISTA</t>
  </si>
  <si>
    <t>4.14.0001</t>
  </si>
  <si>
    <t>DEVOLUÇÕES</t>
  </si>
  <si>
    <t>DESPESAS DE FABRICAÇÃO</t>
  </si>
  <si>
    <t>DESPESAS GERAIS - CALÇADISTA</t>
  </si>
  <si>
    <t>Total Geral: 648005.67</t>
  </si>
  <si>
    <t>JANEIRO</t>
  </si>
  <si>
    <t>FEVEREIRO</t>
  </si>
  <si>
    <t>MARÇO</t>
  </si>
  <si>
    <t>ABRIL</t>
  </si>
  <si>
    <t>DESCRIÇÃO</t>
  </si>
  <si>
    <t>FRETES E CARRETOS / TRANSPORTES - CALÇADISTA</t>
  </si>
  <si>
    <t>SUPRIMENTOS DE INFORM./XEROX-CALÇADISTA</t>
  </si>
  <si>
    <t>4.02.0010</t>
  </si>
  <si>
    <t>LANCHES E REFEIÇÕES - CALÇADISTA</t>
  </si>
  <si>
    <t>4.04.0035</t>
  </si>
  <si>
    <t>SERVIÇOS TERC.PJ-CALÇADISTA</t>
  </si>
  <si>
    <t>4.05.0006</t>
  </si>
  <si>
    <t>F.G.T.S.</t>
  </si>
  <si>
    <t>4.05.0011</t>
  </si>
  <si>
    <t>SOFTWARE RH - MANUTENÇÃO</t>
  </si>
  <si>
    <t>Total Geral: 603209.12</t>
  </si>
  <si>
    <t>4.04.0016</t>
  </si>
  <si>
    <t>MATERIAL DE LIMPEZA E HIGIENE-CALÇADISTA</t>
  </si>
  <si>
    <t>4.05.0019</t>
  </si>
  <si>
    <t>CURSOS / TREINAMENTOS</t>
  </si>
  <si>
    <t>Total Geral: 780688.51</t>
  </si>
  <si>
    <t>4.02.0011</t>
  </si>
  <si>
    <t>PEDAGIO - CALÇADISTA</t>
  </si>
  <si>
    <t>4.02.0012</t>
  </si>
  <si>
    <t>COMBUSTIVEL - CALÇADISTA</t>
  </si>
  <si>
    <t>4.02.0016</t>
  </si>
  <si>
    <t>ARMAZENAGEM-CALCADISTA</t>
  </si>
  <si>
    <t>4.02.0017</t>
  </si>
  <si>
    <t>ESTACIONAMENTO COMERCIAL CALCADISTA</t>
  </si>
  <si>
    <t>4.02.0029</t>
  </si>
  <si>
    <t>TELEFONE MOVEL COMERCIAL - CALCADISTA</t>
  </si>
  <si>
    <t>4.04.0010</t>
  </si>
  <si>
    <t>MANUTENÇÃO TELEFONIA-CALÇADISTA</t>
  </si>
  <si>
    <t>4.04.0023</t>
  </si>
  <si>
    <t>COMBUSTIVEL-CALÇADISTA</t>
  </si>
  <si>
    <t>4.04.0027</t>
  </si>
  <si>
    <t>TAXI</t>
  </si>
  <si>
    <t>4.04.0029</t>
  </si>
  <si>
    <t>TELEFONE MOVEL-CALÇADISTA</t>
  </si>
  <si>
    <t>4.04.0032</t>
  </si>
  <si>
    <t>PAPELARIA-CALÇADISTA</t>
  </si>
  <si>
    <t>4.04.0034</t>
  </si>
  <si>
    <t>INTERNET-CALÇADISTA</t>
  </si>
  <si>
    <t>4.04.0053</t>
  </si>
  <si>
    <t>MOTO BOY-CALÇADISTA</t>
  </si>
  <si>
    <t>4.05.0028</t>
  </si>
  <si>
    <t>FÉRIAS - CALÇADISTA</t>
  </si>
  <si>
    <t>4.07.0017</t>
  </si>
  <si>
    <t>OUTROS IMPOSTOS</t>
  </si>
  <si>
    <t>4.12.0004</t>
  </si>
  <si>
    <t>MOVEIS DE ESCRITORIO</t>
  </si>
  <si>
    <t>Total Geral: 936776.99</t>
  </si>
  <si>
    <t>ALUGUEL</t>
  </si>
  <si>
    <t>C. CUSTO</t>
  </si>
  <si>
    <t>MAIO</t>
  </si>
  <si>
    <t>4.04.0003</t>
  </si>
  <si>
    <t>SEGURO-CALÇADISTA</t>
  </si>
  <si>
    <t>4.04.0014</t>
  </si>
  <si>
    <t>CORREIOS E TELEGRAFOS-CALÇADISTA</t>
  </si>
  <si>
    <t>4.04.0017</t>
  </si>
  <si>
    <t>CARTORIO-CALÇADISTA</t>
  </si>
  <si>
    <t>4.04.0022</t>
  </si>
  <si>
    <t>PEDAGIO-CALÇADISTA</t>
  </si>
  <si>
    <t>4.04.0046</t>
  </si>
  <si>
    <t>COPA E COZINHA-CALÇADISTA</t>
  </si>
  <si>
    <t>4.06.0010</t>
  </si>
  <si>
    <t>DESPESAS COM CARTORIO</t>
  </si>
  <si>
    <t>4.11.0001</t>
  </si>
  <si>
    <t>HONORARIOS ADVOCATICIOS</t>
  </si>
  <si>
    <t>DESPESAS COM JURIDIDO - CALÇADISTA</t>
  </si>
  <si>
    <t>Total Geral: 577928.22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</si>
</sst>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\ #0.00"/>
  </numFmts>
  <fonts count="10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9"/>
      <color indexed="9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2" fillId="0" borderId="0">
      <alignment horizontal="right" vertical="top"/>
    </xf>
    <xf numFmtId="0" fontId="3" fillId="0" borderId="0">
      <alignment horizontal="right" vertical="top"/>
    </xf>
  </cellStyleXfs>
  <cellXfs count="25">
    <xf numFmtId="0" fontId="0" fillId="0" borderId="0" xfId="0"/>
    <xf numFmtId="0" fontId="1" fillId="0" borderId="0" xfId="2" quotePrefix="1" applyAlignment="1">
      <alignment horizontal="left" vertical="top" wrapText="1"/>
    </xf>
    <xf numFmtId="0" fontId="0" fillId="0" borderId="0" xfId="0" applyAlignment="1">
      <alignment wrapText="1"/>
    </xf>
    <xf numFmtId="164" fontId="1" fillId="0" borderId="0" xfId="3" applyNumberFormat="1" applyAlignment="1">
      <alignment horizontal="right" vertical="top" wrapText="1"/>
    </xf>
    <xf numFmtId="0" fontId="5" fillId="0" borderId="0" xfId="0" applyFont="1"/>
    <xf numFmtId="0" fontId="1" fillId="0" borderId="0" xfId="1" quotePrefix="1" applyAlignment="1">
      <alignment vertical="top" wrapText="1"/>
    </xf>
    <xf numFmtId="0" fontId="6" fillId="0" borderId="0" xfId="0" applyFont="1"/>
    <xf numFmtId="4" fontId="1" fillId="0" borderId="0" xfId="1" applyNumberFormat="1" applyAlignment="1">
      <alignment vertical="top" wrapText="1"/>
    </xf>
    <xf numFmtId="4" fontId="0" fillId="0" borderId="0" xfId="0" applyNumberFormat="1"/>
    <xf numFmtId="4" fontId="5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1" fillId="0" borderId="0" xfId="1" quotePrefix="1" applyAlignment="1">
      <alignment horizontal="left" vertical="top" wrapText="1"/>
    </xf>
    <xf numFmtId="0" fontId="1" fillId="0" borderId="0" xfId="1" applyAlignment="1">
      <alignment horizontal="left" vertical="top" wrapText="1"/>
    </xf>
    <xf numFmtId="164" fontId="3" fillId="0" borderId="0" xfId="7" applyNumberFormat="1" applyAlignment="1">
      <alignment horizontal="right" vertical="top" wrapText="1"/>
    </xf>
    <xf numFmtId="0" fontId="0" fillId="0" borderId="0" xfId="0" applyAlignment="1">
      <alignment vertical="top" wrapText="1"/>
    </xf>
    <xf numFmtId="0" fontId="2" fillId="0" borderId="0" xfId="4" quotePrefix="1" applyAlignment="1">
      <alignment horizontal="left" vertical="top" wrapText="1"/>
    </xf>
    <xf numFmtId="0" fontId="2" fillId="0" borderId="0" xfId="4" applyAlignment="1">
      <alignment horizontal="left" vertical="top" wrapText="1"/>
    </xf>
    <xf numFmtId="164" fontId="2" fillId="0" borderId="0" xfId="5" applyNumberFormat="1" applyAlignment="1">
      <alignment horizontal="right" vertical="top" wrapText="1"/>
    </xf>
    <xf numFmtId="164" fontId="2" fillId="0" borderId="0" xfId="6" applyNumberFormat="1" applyAlignment="1">
      <alignment horizontal="right" vertical="top" wrapText="1"/>
    </xf>
  </cellXfs>
  <cellStyles count="8">
    <cellStyle name="Normal" xfId="0" builtinId="0"/>
    <cellStyle name="S0" xfId="1"/>
    <cellStyle name="S1" xfId="2"/>
    <cellStyle name="S2" xfId="3"/>
    <cellStyle name="S3" xfId="4"/>
    <cellStyle name="S4" xfId="5"/>
    <cellStyle name="S5" xfId="6"/>
    <cellStyle name="S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CC - COMPRAS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GERAL!$B$2</c:f>
              <c:strCache>
                <c:ptCount val="1"/>
                <c:pt idx="0">
                  <c:v>FIOS - CALÇADISTA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GERAL!$C$1:$G$1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GERAL!$C$2:$G$2</c:f>
              <c:numCache>
                <c:formatCode>#,##0.00</c:formatCode>
                <c:ptCount val="5"/>
                <c:pt idx="0">
                  <c:v>154440.47</c:v>
                </c:pt>
                <c:pt idx="1">
                  <c:v>95338.03</c:v>
                </c:pt>
                <c:pt idx="2">
                  <c:v>269871.96999999997</c:v>
                </c:pt>
                <c:pt idx="3">
                  <c:v>459074.33</c:v>
                </c:pt>
                <c:pt idx="4">
                  <c:v>193245.07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37-44D2-9BB3-A223CE24CC85}"/>
            </c:ext>
          </c:extLst>
        </c:ser>
        <c:ser>
          <c:idx val="1"/>
          <c:order val="1"/>
          <c:tx>
            <c:strRef>
              <c:f>GERAL!$B$3</c:f>
              <c:strCache>
                <c:ptCount val="1"/>
                <c:pt idx="0">
                  <c:v>PEÇAS/ACESSORIOS - CALÇADISTA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83549409392106E-2"/>
                  <c:y val="-1.6900250690220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037-44D2-9BB3-A223CE24CC85}"/>
                </c:ext>
              </c:extLst>
            </c:dLbl>
            <c:dLbl>
              <c:idx val="1"/>
              <c:layout>
                <c:manualLayout>
                  <c:x val="1.4405070584845813E-2"/>
                  <c:y val="-2.4143215271743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7-44D2-9BB3-A223CE24CC85}"/>
                </c:ext>
              </c:extLst>
            </c:dLbl>
            <c:dLbl>
              <c:idx val="2"/>
              <c:layout>
                <c:manualLayout>
                  <c:x val="4.3215211754536543E-3"/>
                  <c:y val="-2.6409296072217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037-44D2-9BB3-A223CE24CC85}"/>
                </c:ext>
              </c:extLst>
            </c:dLbl>
            <c:dLbl>
              <c:idx val="3"/>
              <c:layout>
                <c:manualLayout>
                  <c:x val="2.8810141169691729E-3"/>
                  <c:y val="-2.8891064101757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7-44D2-9BB3-A223CE24CC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GERAL!$C$1:$G$1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GERAL!$C$3:$G$3</c:f>
              <c:numCache>
                <c:formatCode>#,##0.00</c:formatCode>
                <c:ptCount val="5"/>
                <c:pt idx="0">
                  <c:v>31366.16</c:v>
                </c:pt>
                <c:pt idx="1">
                  <c:v>15920.35</c:v>
                </c:pt>
                <c:pt idx="2">
                  <c:v>14694.64</c:v>
                </c:pt>
                <c:pt idx="3">
                  <c:v>14599.65</c:v>
                </c:pt>
                <c:pt idx="4">
                  <c:v>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7-44D2-9BB3-A223CE24CC85}"/>
            </c:ext>
          </c:extLst>
        </c:ser>
        <c:ser>
          <c:idx val="2"/>
          <c:order val="2"/>
          <c:tx>
            <c:strRef>
              <c:f>GERAL!$B$4</c:f>
              <c:strCache>
                <c:ptCount val="1"/>
                <c:pt idx="0">
                  <c:v>TECIDOS - CALÇADISTA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893690579083838E-2"/>
                  <c:y val="-1.9314572217394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037-44D2-9BB3-A223CE24CC85}"/>
                </c:ext>
              </c:extLst>
            </c:dLbl>
            <c:dLbl>
              <c:idx val="1"/>
              <c:layout>
                <c:manualLayout>
                  <c:x val="1.5845577643330451E-2"/>
                  <c:y val="3.1507466241796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037-44D2-9BB3-A223CE24CC85}"/>
                </c:ext>
              </c:extLst>
            </c:dLbl>
            <c:dLbl>
              <c:idx val="2"/>
              <c:layout>
                <c:manualLayout>
                  <c:x val="8.6430423509075201E-3"/>
                  <c:y val="1.931457221739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037-44D2-9BB3-A223CE24CC85}"/>
                </c:ext>
              </c:extLst>
            </c:dLbl>
            <c:dLbl>
              <c:idx val="3"/>
              <c:layout>
                <c:manualLayout>
                  <c:x val="-1.0563596397319959E-16"/>
                  <c:y val="1.2071607635871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7-44D2-9BB3-A223CE24CC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GERAL!$C$1:$G$1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GERAL!$C$4:$G$4</c:f>
              <c:numCache>
                <c:formatCode>#,##0.00</c:formatCode>
                <c:ptCount val="5"/>
                <c:pt idx="0">
                  <c:v>3162.35</c:v>
                </c:pt>
                <c:pt idx="1">
                  <c:v>13399.74</c:v>
                </c:pt>
                <c:pt idx="2">
                  <c:v>1370.95</c:v>
                </c:pt>
                <c:pt idx="3">
                  <c:v>9946.48</c:v>
                </c:pt>
                <c:pt idx="4">
                  <c:v>5842.67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37-44D2-9BB3-A223CE24CC85}"/>
            </c:ext>
          </c:extLst>
        </c:ser>
        <c:ser>
          <c:idx val="3"/>
          <c:order val="3"/>
          <c:tx>
            <c:strRef>
              <c:f>GERAL!$B$5</c:f>
              <c:strCache>
                <c:ptCount val="1"/>
                <c:pt idx="0">
                  <c:v>TINTURARIA- CALÇADISTA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215211754537332E-3"/>
                  <c:y val="-2.6409296072217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037-44D2-9BB3-A223CE24CC85}"/>
                </c:ext>
              </c:extLst>
            </c:dLbl>
            <c:dLbl>
              <c:idx val="1"/>
              <c:layout>
                <c:manualLayout>
                  <c:x val="8.6430423509075201E-3"/>
                  <c:y val="2.160760587726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7-44D2-9BB3-A223CE24CC85}"/>
                </c:ext>
              </c:extLst>
            </c:dLbl>
            <c:dLbl>
              <c:idx val="2"/>
              <c:layout>
                <c:manualLayout>
                  <c:x val="1.4405070584845865E-3"/>
                  <c:y val="-2.160760587726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37-44D2-9BB3-A223CE24CC85}"/>
                </c:ext>
              </c:extLst>
            </c:dLbl>
            <c:dLbl>
              <c:idx val="3"/>
              <c:layout>
                <c:manualLayout>
                  <c:x val="1.4405070584844809E-3"/>
                  <c:y val="-2.1607605877268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7-44D2-9BB3-A223CE24CC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GERAL!$C$1:$G$1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GERAL!$C$5:$G$5</c:f>
              <c:numCache>
                <c:formatCode>#,##0.00</c:formatCode>
                <c:ptCount val="5"/>
                <c:pt idx="0">
                  <c:v>61252.91</c:v>
                </c:pt>
                <c:pt idx="1">
                  <c:v>61483.39</c:v>
                </c:pt>
                <c:pt idx="2">
                  <c:v>68945.070000000007</c:v>
                </c:pt>
                <c:pt idx="3">
                  <c:v>72441.3</c:v>
                </c:pt>
                <c:pt idx="4">
                  <c:v>57845.69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37-44D2-9BB3-A223CE24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656032"/>
        <c:axId val="1010656448"/>
      </c:lineChart>
      <c:catAx>
        <c:axId val="10106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0656448"/>
        <c:crosses val="autoZero"/>
        <c:auto val="1"/>
        <c:lblAlgn val="ctr"/>
        <c:lblOffset val="100"/>
        <c:noMultiLvlLbl val="0"/>
      </c:catAx>
      <c:valAx>
        <c:axId val="101065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065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CC - COMERCIAL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GERAL!$B$9</c:f>
              <c:strCache>
                <c:ptCount val="1"/>
                <c:pt idx="0">
                  <c:v>COMISSÕES S/VENDAS - CALÇADISTA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GERAL!$C$9:$G$9</c:f>
              <c:numCache>
                <c:formatCode>#,##0.00</c:formatCode>
                <c:ptCount val="5"/>
                <c:pt idx="0">
                  <c:v>13418.81</c:v>
                </c:pt>
                <c:pt idx="1">
                  <c:v>25145.75</c:v>
                </c:pt>
                <c:pt idx="2">
                  <c:v>16681.07</c:v>
                </c:pt>
                <c:pt idx="3">
                  <c:v>18614.240000000002</c:v>
                </c:pt>
                <c:pt idx="4">
                  <c:v>8269.01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70F-8E39-EE0C2D0B0661}"/>
            </c:ext>
          </c:extLst>
        </c:ser>
        <c:ser>
          <c:idx val="1"/>
          <c:order val="1"/>
          <c:tx>
            <c:strRef>
              <c:f>GERAL!$B$10</c:f>
              <c:strCache>
                <c:ptCount val="1"/>
                <c:pt idx="0">
                  <c:v>FRETES E CARRETOS / TRANSPORTES - CALÇADISTA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GERAL!$C$10:$G$10</c:f>
              <c:numCache>
                <c:formatCode>#,##0.00</c:formatCode>
                <c:ptCount val="5"/>
                <c:pt idx="0">
                  <c:v>8693.7800000000007</c:v>
                </c:pt>
                <c:pt idx="1">
                  <c:v>6131.27</c:v>
                </c:pt>
                <c:pt idx="2">
                  <c:v>5847.18</c:v>
                </c:pt>
                <c:pt idx="3">
                  <c:v>16096.11</c:v>
                </c:pt>
                <c:pt idx="4">
                  <c:v>12769.98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8-470F-8E39-EE0C2D0B0661}"/>
            </c:ext>
          </c:extLst>
        </c:ser>
        <c:ser>
          <c:idx val="2"/>
          <c:order val="2"/>
          <c:tx>
            <c:strRef>
              <c:f>GERAL!$B$11</c:f>
              <c:strCache>
                <c:ptCount val="1"/>
                <c:pt idx="0">
                  <c:v>VIAGENS,  E ESTADIAS  CALÇADISTA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GERAL!$C$11:$G$11</c:f>
              <c:numCache>
                <c:formatCode>#,##0.00</c:formatCode>
                <c:ptCount val="5"/>
                <c:pt idx="0">
                  <c:v>432.24</c:v>
                </c:pt>
                <c:pt idx="1">
                  <c:v>3692.82</c:v>
                </c:pt>
                <c:pt idx="2">
                  <c:v>1720</c:v>
                </c:pt>
                <c:pt idx="3">
                  <c:v>2799.98</c:v>
                </c:pt>
                <c:pt idx="4">
                  <c:v>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A8-470F-8E39-EE0C2D0B0661}"/>
            </c:ext>
          </c:extLst>
        </c:ser>
        <c:ser>
          <c:idx val="3"/>
          <c:order val="3"/>
          <c:tx>
            <c:strRef>
              <c:f>GERAL!$B$12</c:f>
              <c:strCache>
                <c:ptCount val="1"/>
                <c:pt idx="0">
                  <c:v>LANCHES E REFEIÇÕES - CALÇADISTA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GERAL!$C$12:$G$12</c:f>
              <c:numCache>
                <c:formatCode>#,##0.00</c:formatCode>
                <c:ptCount val="5"/>
                <c:pt idx="0">
                  <c:v>0</c:v>
                </c:pt>
                <c:pt idx="1">
                  <c:v>83.49</c:v>
                </c:pt>
                <c:pt idx="2">
                  <c:v>0</c:v>
                </c:pt>
                <c:pt idx="3">
                  <c:v>953.61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A8-470F-8E39-EE0C2D0B0661}"/>
            </c:ext>
          </c:extLst>
        </c:ser>
        <c:ser>
          <c:idx val="4"/>
          <c:order val="4"/>
          <c:tx>
            <c:strRef>
              <c:f>GERAL!$B$13</c:f>
              <c:strCache>
                <c:ptCount val="1"/>
                <c:pt idx="0">
                  <c:v>PEDAGIO - CALÇADISTA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GERAL!$C$13:$G$13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461.2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A8-470F-8E39-EE0C2D0B0661}"/>
            </c:ext>
          </c:extLst>
        </c:ser>
        <c:ser>
          <c:idx val="5"/>
          <c:order val="5"/>
          <c:tx>
            <c:strRef>
              <c:f>GERAL!$B$14</c:f>
              <c:strCache>
                <c:ptCount val="1"/>
                <c:pt idx="0">
                  <c:v>COMBUSTIVEL - CALÇADISTA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GERAL!$C$14:$G$14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1116.23</c:v>
                </c:pt>
                <c:pt idx="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A8-470F-8E39-EE0C2D0B0661}"/>
            </c:ext>
          </c:extLst>
        </c:ser>
        <c:ser>
          <c:idx val="6"/>
          <c:order val="6"/>
          <c:tx>
            <c:strRef>
              <c:f>GERAL!$B$15</c:f>
              <c:strCache>
                <c:ptCount val="1"/>
                <c:pt idx="0">
                  <c:v>ASSOCIAÇÕES DE CLASSE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GERAL!$C$15:$G$15</c:f>
              <c:numCache>
                <c:formatCode>#,##0.00</c:formatCode>
                <c:ptCount val="5"/>
                <c:pt idx="0">
                  <c:v>2881.05</c:v>
                </c:pt>
                <c:pt idx="1">
                  <c:v>2319.54</c:v>
                </c:pt>
                <c:pt idx="2">
                  <c:v>2319.54</c:v>
                </c:pt>
                <c:pt idx="3">
                  <c:v>2319.54</c:v>
                </c:pt>
                <c:pt idx="4">
                  <c:v>2319.54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A8-470F-8E39-EE0C2D0B0661}"/>
            </c:ext>
          </c:extLst>
        </c:ser>
        <c:ser>
          <c:idx val="7"/>
          <c:order val="7"/>
          <c:tx>
            <c:strRef>
              <c:f>GERAL!$B$16</c:f>
              <c:strCache>
                <c:ptCount val="1"/>
                <c:pt idx="0">
                  <c:v>ALUGUEL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GERAL!$C$16:$G$16</c:f>
              <c:numCache>
                <c:formatCode>#,##0.00</c:formatCode>
                <c:ptCount val="5"/>
                <c:pt idx="0">
                  <c:v>300</c:v>
                </c:pt>
                <c:pt idx="1">
                  <c:v>300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A8-470F-8E39-EE0C2D0B0661}"/>
            </c:ext>
          </c:extLst>
        </c:ser>
        <c:ser>
          <c:idx val="8"/>
          <c:order val="8"/>
          <c:tx>
            <c:strRef>
              <c:f>GERAL!$B$17</c:f>
              <c:strCache>
                <c:ptCount val="1"/>
                <c:pt idx="0">
                  <c:v>ARMAZENAGEM-CALCADISTA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GERAL!$C$17:$G$17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2496.42</c:v>
                </c:pt>
                <c:pt idx="4">
                  <c:v>1447.92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A8-470F-8E39-EE0C2D0B0661}"/>
            </c:ext>
          </c:extLst>
        </c:ser>
        <c:ser>
          <c:idx val="9"/>
          <c:order val="9"/>
          <c:tx>
            <c:strRef>
              <c:f>GERAL!$B$18</c:f>
              <c:strCache>
                <c:ptCount val="1"/>
                <c:pt idx="0">
                  <c:v>ESTACIONAMENTO COMERCIAL CALCADISTA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GERAL!$C$18:$G$18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A8-470F-8E39-EE0C2D0B0661}"/>
            </c:ext>
          </c:extLst>
        </c:ser>
        <c:ser>
          <c:idx val="10"/>
          <c:order val="10"/>
          <c:tx>
            <c:strRef>
              <c:f>GERAL!$B$19</c:f>
              <c:strCache>
                <c:ptCount val="1"/>
                <c:pt idx="0">
                  <c:v>TELEFONE MOVEL COMERCIAL - CALCADISTA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GERAL!$C$19:$G$19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279.98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5A8-470F-8E39-EE0C2D0B0661}"/>
            </c:ext>
          </c:extLst>
        </c:ser>
        <c:ser>
          <c:idx val="11"/>
          <c:order val="11"/>
          <c:tx>
            <c:strRef>
              <c:f>GERAL!$B$20</c:f>
              <c:strCache>
                <c:ptCount val="1"/>
                <c:pt idx="0">
                  <c:v>FRETES TERCEIROS - CONTRATADO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GERAL!$C$8:$G$8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GERAL!$C$20:$G$20</c:f>
              <c:numCache>
                <c:formatCode>#,##0.00</c:formatCode>
                <c:ptCount val="5"/>
                <c:pt idx="0">
                  <c:v>6227.54</c:v>
                </c:pt>
                <c:pt idx="1">
                  <c:v>9281</c:v>
                </c:pt>
                <c:pt idx="2">
                  <c:v>11751.23</c:v>
                </c:pt>
                <c:pt idx="3">
                  <c:v>11000</c:v>
                </c:pt>
                <c:pt idx="4">
                  <c:v>8810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5A8-470F-8E39-EE0C2D0B0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8041296"/>
        <c:axId val="1248046704"/>
      </c:lineChart>
      <c:catAx>
        <c:axId val="124804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8046704"/>
        <c:crosses val="autoZero"/>
        <c:auto val="1"/>
        <c:lblAlgn val="ctr"/>
        <c:lblOffset val="100"/>
        <c:noMultiLvlLbl val="0"/>
      </c:catAx>
      <c:valAx>
        <c:axId val="1248046704"/>
        <c:scaling>
          <c:orientation val="minMax"/>
          <c:max val="2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804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16</xdr:col>
      <xdr:colOff>0</xdr:colOff>
      <xdr:row>34</xdr:row>
      <xdr:rowOff>160020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876300</xdr:colOff>
      <xdr:row>35</xdr:row>
      <xdr:rowOff>30480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22" workbookViewId="0">
      <selection activeCell="G36" sqref="G36"/>
    </sheetView>
  </sheetViews>
  <sheetFormatPr defaultColWidth="9.109375" defaultRowHeight="13.2" x14ac:dyDescent="0.25"/>
  <cols>
    <col min="1" max="1" width="9.6640625" style="2" customWidth="1"/>
    <col min="2" max="2" width="48.44140625" style="2" customWidth="1"/>
    <col min="3" max="3" width="12.5546875" style="2" customWidth="1"/>
    <col min="4" max="4" width="3.109375" style="2" customWidth="1"/>
    <col min="5" max="5" width="2.5546875" style="2" customWidth="1"/>
    <col min="6" max="6" width="17.6640625" style="2" customWidth="1"/>
    <col min="7" max="16384" width="9.109375" style="2"/>
  </cols>
  <sheetData>
    <row r="1" spans="1:6" ht="14.25" customHeight="1" x14ac:dyDescent="0.25">
      <c r="A1" s="1" t="s">
        <v>0</v>
      </c>
      <c r="B1" s="17" t="s">
        <v>1</v>
      </c>
      <c r="C1" s="18"/>
      <c r="D1" s="18"/>
      <c r="F1" s="3">
        <v>154440.47</v>
      </c>
    </row>
    <row r="2" spans="1:6" ht="14.25" customHeight="1" x14ac:dyDescent="0.25">
      <c r="A2" s="1" t="s">
        <v>2</v>
      </c>
      <c r="B2" s="17" t="s">
        <v>3</v>
      </c>
      <c r="C2" s="18"/>
      <c r="D2" s="18"/>
      <c r="F2" s="3">
        <v>31366.16</v>
      </c>
    </row>
    <row r="3" spans="1:6" ht="14.25" customHeight="1" x14ac:dyDescent="0.25">
      <c r="A3" s="1" t="s">
        <v>4</v>
      </c>
      <c r="B3" s="17" t="s">
        <v>5</v>
      </c>
      <c r="C3" s="18"/>
      <c r="D3" s="18"/>
      <c r="F3" s="3">
        <v>3162.35</v>
      </c>
    </row>
    <row r="4" spans="1:6" ht="14.25" customHeight="1" x14ac:dyDescent="0.25">
      <c r="A4" s="1" t="s">
        <v>6</v>
      </c>
      <c r="B4" s="17" t="s">
        <v>7</v>
      </c>
      <c r="C4" s="18"/>
      <c r="D4" s="18"/>
      <c r="F4" s="3">
        <v>61252.91</v>
      </c>
    </row>
    <row r="5" spans="1:6" ht="14.25" customHeight="1" x14ac:dyDescent="0.25">
      <c r="B5" s="21" t="s">
        <v>8</v>
      </c>
      <c r="C5" s="22"/>
      <c r="D5" s="23">
        <v>250221.89</v>
      </c>
      <c r="E5" s="20"/>
      <c r="F5" s="20"/>
    </row>
    <row r="6" spans="1:6" ht="8.4" customHeight="1" x14ac:dyDescent="0.25"/>
    <row r="7" spans="1:6" ht="14.25" customHeight="1" x14ac:dyDescent="0.25">
      <c r="A7" s="1" t="s">
        <v>9</v>
      </c>
      <c r="B7" s="17" t="s">
        <v>10</v>
      </c>
      <c r="C7" s="18"/>
      <c r="D7" s="18"/>
      <c r="F7" s="3">
        <v>13418.81</v>
      </c>
    </row>
    <row r="8" spans="1:6" ht="14.25" customHeight="1" x14ac:dyDescent="0.25">
      <c r="A8" s="1" t="s">
        <v>11</v>
      </c>
      <c r="B8" s="17" t="s">
        <v>12</v>
      </c>
      <c r="C8" s="18"/>
      <c r="D8" s="18"/>
      <c r="F8" s="3">
        <v>8693.7800000000007</v>
      </c>
    </row>
    <row r="9" spans="1:6" ht="14.25" customHeight="1" x14ac:dyDescent="0.25">
      <c r="A9" s="1" t="s">
        <v>13</v>
      </c>
      <c r="B9" s="17" t="s">
        <v>14</v>
      </c>
      <c r="C9" s="18"/>
      <c r="D9" s="18"/>
      <c r="F9" s="3">
        <v>432.24</v>
      </c>
    </row>
    <row r="10" spans="1:6" ht="14.25" customHeight="1" x14ac:dyDescent="0.25">
      <c r="A10" s="1" t="s">
        <v>15</v>
      </c>
      <c r="B10" s="17" t="s">
        <v>16</v>
      </c>
      <c r="C10" s="18"/>
      <c r="D10" s="18"/>
      <c r="F10" s="3">
        <v>2881.05</v>
      </c>
    </row>
    <row r="11" spans="1:6" ht="14.25" customHeight="1" x14ac:dyDescent="0.25">
      <c r="A11" s="1" t="s">
        <v>17</v>
      </c>
      <c r="B11" s="17" t="s">
        <v>18</v>
      </c>
      <c r="C11" s="18"/>
      <c r="D11" s="18"/>
      <c r="F11" s="3">
        <v>300</v>
      </c>
    </row>
    <row r="12" spans="1:6" ht="14.25" customHeight="1" x14ac:dyDescent="0.25">
      <c r="A12" s="1" t="s">
        <v>19</v>
      </c>
      <c r="B12" s="17" t="s">
        <v>20</v>
      </c>
      <c r="C12" s="18"/>
      <c r="D12" s="18"/>
      <c r="F12" s="3">
        <v>6227.54</v>
      </c>
    </row>
    <row r="13" spans="1:6" ht="14.25" customHeight="1" x14ac:dyDescent="0.25">
      <c r="B13" s="21" t="s">
        <v>21</v>
      </c>
      <c r="C13" s="22"/>
      <c r="D13" s="23">
        <v>31953.42</v>
      </c>
      <c r="E13" s="20"/>
      <c r="F13" s="20"/>
    </row>
    <row r="14" spans="1:6" ht="8.4" customHeight="1" x14ac:dyDescent="0.25"/>
    <row r="15" spans="1:6" ht="14.25" customHeight="1" x14ac:dyDescent="0.25">
      <c r="A15" s="1" t="s">
        <v>22</v>
      </c>
      <c r="B15" s="17" t="s">
        <v>23</v>
      </c>
      <c r="C15" s="18"/>
      <c r="D15" s="18"/>
      <c r="F15" s="3">
        <v>16512.060000000001</v>
      </c>
    </row>
    <row r="16" spans="1:6" ht="14.25" customHeight="1" x14ac:dyDescent="0.25">
      <c r="A16" s="1" t="s">
        <v>24</v>
      </c>
      <c r="B16" s="17" t="s">
        <v>25</v>
      </c>
      <c r="C16" s="18"/>
      <c r="D16" s="18"/>
      <c r="F16" s="3">
        <v>117</v>
      </c>
    </row>
    <row r="17" spans="1:6" ht="14.25" customHeight="1" x14ac:dyDescent="0.25">
      <c r="A17" s="1" t="s">
        <v>26</v>
      </c>
      <c r="B17" s="17" t="s">
        <v>27</v>
      </c>
      <c r="C17" s="18"/>
      <c r="D17" s="18"/>
      <c r="F17" s="3">
        <v>3820.74</v>
      </c>
    </row>
    <row r="18" spans="1:6" ht="14.25" customHeight="1" x14ac:dyDescent="0.25">
      <c r="A18" s="1" t="s">
        <v>28</v>
      </c>
      <c r="B18" s="17" t="s">
        <v>29</v>
      </c>
      <c r="C18" s="18"/>
      <c r="D18" s="18"/>
      <c r="F18" s="3">
        <v>329.47</v>
      </c>
    </row>
    <row r="19" spans="1:6" ht="14.25" customHeight="1" x14ac:dyDescent="0.25">
      <c r="A19" s="1" t="s">
        <v>30</v>
      </c>
      <c r="B19" s="17" t="s">
        <v>31</v>
      </c>
      <c r="C19" s="18"/>
      <c r="D19" s="18"/>
      <c r="F19" s="3">
        <v>85</v>
      </c>
    </row>
    <row r="20" spans="1:6" ht="14.25" customHeight="1" x14ac:dyDescent="0.25">
      <c r="A20" s="1" t="s">
        <v>32</v>
      </c>
      <c r="B20" s="17" t="s">
        <v>33</v>
      </c>
      <c r="C20" s="18"/>
      <c r="D20" s="18"/>
      <c r="F20" s="3">
        <v>1636.18</v>
      </c>
    </row>
    <row r="21" spans="1:6" ht="14.25" customHeight="1" x14ac:dyDescent="0.25">
      <c r="A21" s="1" t="s">
        <v>34</v>
      </c>
      <c r="B21" s="17" t="s">
        <v>35</v>
      </c>
      <c r="C21" s="18"/>
      <c r="D21" s="18"/>
      <c r="F21" s="3">
        <v>150</v>
      </c>
    </row>
    <row r="22" spans="1:6" ht="14.25" customHeight="1" x14ac:dyDescent="0.25">
      <c r="A22" s="1" t="s">
        <v>36</v>
      </c>
      <c r="B22" s="17" t="s">
        <v>37</v>
      </c>
      <c r="C22" s="18"/>
      <c r="D22" s="18"/>
      <c r="F22" s="3">
        <v>7171</v>
      </c>
    </row>
    <row r="23" spans="1:6" ht="14.25" customHeight="1" x14ac:dyDescent="0.25">
      <c r="A23" s="1" t="s">
        <v>38</v>
      </c>
      <c r="B23" s="17" t="s">
        <v>39</v>
      </c>
      <c r="C23" s="18"/>
      <c r="D23" s="18"/>
      <c r="F23" s="3">
        <v>1690</v>
      </c>
    </row>
    <row r="24" spans="1:6" ht="14.25" customHeight="1" x14ac:dyDescent="0.25">
      <c r="A24" s="1" t="s">
        <v>40</v>
      </c>
      <c r="B24" s="17" t="s">
        <v>41</v>
      </c>
      <c r="C24" s="18"/>
      <c r="D24" s="18"/>
      <c r="F24" s="3">
        <v>1121.4000000000001</v>
      </c>
    </row>
    <row r="25" spans="1:6" ht="14.25" customHeight="1" x14ac:dyDescent="0.25">
      <c r="A25" s="1" t="s">
        <v>42</v>
      </c>
      <c r="B25" s="17" t="s">
        <v>43</v>
      </c>
      <c r="C25" s="18"/>
      <c r="D25" s="18"/>
      <c r="F25" s="3">
        <v>1486</v>
      </c>
    </row>
    <row r="26" spans="1:6" ht="14.25" customHeight="1" x14ac:dyDescent="0.25">
      <c r="A26" s="1" t="s">
        <v>44</v>
      </c>
      <c r="B26" s="17" t="s">
        <v>45</v>
      </c>
      <c r="C26" s="18"/>
      <c r="D26" s="18"/>
      <c r="F26" s="3">
        <v>15650</v>
      </c>
    </row>
    <row r="27" spans="1:6" ht="14.25" customHeight="1" x14ac:dyDescent="0.25">
      <c r="A27" s="1" t="s">
        <v>46</v>
      </c>
      <c r="B27" s="17" t="s">
        <v>47</v>
      </c>
      <c r="C27" s="18"/>
      <c r="D27" s="18"/>
      <c r="F27" s="3">
        <v>120</v>
      </c>
    </row>
    <row r="28" spans="1:6" ht="14.25" customHeight="1" x14ac:dyDescent="0.25">
      <c r="A28" s="1" t="s">
        <v>48</v>
      </c>
      <c r="B28" s="17" t="s">
        <v>49</v>
      </c>
      <c r="C28" s="18"/>
      <c r="D28" s="18"/>
      <c r="F28" s="3">
        <v>3287</v>
      </c>
    </row>
    <row r="29" spans="1:6" ht="14.25" customHeight="1" x14ac:dyDescent="0.25">
      <c r="A29" s="1" t="s">
        <v>50</v>
      </c>
      <c r="B29" s="17" t="s">
        <v>51</v>
      </c>
      <c r="C29" s="18"/>
      <c r="D29" s="18"/>
      <c r="F29" s="3">
        <v>3270</v>
      </c>
    </row>
    <row r="30" spans="1:6" ht="14.25" customHeight="1" x14ac:dyDescent="0.25">
      <c r="A30" s="1" t="s">
        <v>52</v>
      </c>
      <c r="B30" s="17" t="s">
        <v>53</v>
      </c>
      <c r="C30" s="18"/>
      <c r="D30" s="18"/>
      <c r="F30" s="3">
        <v>1449</v>
      </c>
    </row>
    <row r="31" spans="1:6" ht="14.25" customHeight="1" x14ac:dyDescent="0.25">
      <c r="A31" s="1" t="s">
        <v>54</v>
      </c>
      <c r="B31" s="17" t="s">
        <v>55</v>
      </c>
      <c r="C31" s="18"/>
      <c r="D31" s="18"/>
      <c r="F31" s="3">
        <v>450</v>
      </c>
    </row>
    <row r="32" spans="1:6" ht="14.25" customHeight="1" x14ac:dyDescent="0.25">
      <c r="A32" s="1" t="s">
        <v>56</v>
      </c>
      <c r="B32" s="17" t="s">
        <v>57</v>
      </c>
      <c r="C32" s="18"/>
      <c r="D32" s="18"/>
      <c r="F32" s="3">
        <v>150.30000000000001</v>
      </c>
    </row>
    <row r="33" spans="1:6" ht="14.25" customHeight="1" x14ac:dyDescent="0.25">
      <c r="A33" s="1" t="s">
        <v>58</v>
      </c>
      <c r="B33" s="17" t="s">
        <v>59</v>
      </c>
      <c r="C33" s="18"/>
      <c r="D33" s="18"/>
      <c r="F33" s="3">
        <v>9474.08</v>
      </c>
    </row>
    <row r="34" spans="1:6" ht="14.25" customHeight="1" x14ac:dyDescent="0.25">
      <c r="B34" s="21" t="s">
        <v>60</v>
      </c>
      <c r="C34" s="22"/>
      <c r="D34" s="23">
        <v>67969.23</v>
      </c>
      <c r="E34" s="20"/>
      <c r="F34" s="20"/>
    </row>
    <row r="35" spans="1:6" ht="8.4" customHeight="1" x14ac:dyDescent="0.25"/>
    <row r="36" spans="1:6" ht="14.25" customHeight="1" x14ac:dyDescent="0.25">
      <c r="A36" s="1" t="s">
        <v>61</v>
      </c>
      <c r="B36" s="17" t="s">
        <v>62</v>
      </c>
      <c r="C36" s="18"/>
      <c r="D36" s="18"/>
      <c r="F36" s="3">
        <v>45720.19</v>
      </c>
    </row>
    <row r="37" spans="1:6" ht="14.25" customHeight="1" x14ac:dyDescent="0.25">
      <c r="A37" s="1" t="s">
        <v>63</v>
      </c>
      <c r="B37" s="17" t="s">
        <v>64</v>
      </c>
      <c r="C37" s="18"/>
      <c r="D37" s="18"/>
      <c r="F37" s="3">
        <v>29938.1</v>
      </c>
    </row>
    <row r="38" spans="1:6" ht="14.25" customHeight="1" x14ac:dyDescent="0.25">
      <c r="A38" s="1" t="s">
        <v>65</v>
      </c>
      <c r="B38" s="17" t="s">
        <v>66</v>
      </c>
      <c r="C38" s="18"/>
      <c r="D38" s="18"/>
      <c r="F38" s="3">
        <v>3510.9</v>
      </c>
    </row>
    <row r="39" spans="1:6" ht="14.25" customHeight="1" x14ac:dyDescent="0.25">
      <c r="A39" s="1" t="s">
        <v>69</v>
      </c>
      <c r="B39" s="17" t="s">
        <v>70</v>
      </c>
      <c r="C39" s="18"/>
      <c r="D39" s="18"/>
      <c r="F39" s="3">
        <v>1072.9100000000001</v>
      </c>
    </row>
    <row r="40" spans="1:6" ht="14.25" customHeight="1" x14ac:dyDescent="0.25">
      <c r="A40" s="1" t="s">
        <v>71</v>
      </c>
      <c r="B40" s="17" t="s">
        <v>72</v>
      </c>
      <c r="C40" s="18"/>
      <c r="D40" s="18"/>
      <c r="F40" s="3">
        <v>4484</v>
      </c>
    </row>
    <row r="41" spans="1:6" ht="14.25" customHeight="1" x14ac:dyDescent="0.25">
      <c r="A41" s="1" t="s">
        <v>73</v>
      </c>
      <c r="B41" s="17" t="s">
        <v>74</v>
      </c>
      <c r="C41" s="18"/>
      <c r="D41" s="18"/>
      <c r="F41" s="3">
        <v>2028</v>
      </c>
    </row>
    <row r="42" spans="1:6" ht="14.25" customHeight="1" x14ac:dyDescent="0.25">
      <c r="A42" s="1" t="s">
        <v>75</v>
      </c>
      <c r="B42" s="17" t="s">
        <v>76</v>
      </c>
      <c r="C42" s="18"/>
      <c r="D42" s="18"/>
      <c r="F42" s="3">
        <v>2810.72</v>
      </c>
    </row>
    <row r="43" spans="1:6" ht="14.25" customHeight="1" x14ac:dyDescent="0.25">
      <c r="A43" s="1" t="s">
        <v>77</v>
      </c>
      <c r="B43" s="17" t="s">
        <v>78</v>
      </c>
      <c r="C43" s="18"/>
      <c r="D43" s="18"/>
      <c r="F43" s="3">
        <v>204.16</v>
      </c>
    </row>
    <row r="44" spans="1:6" ht="14.25" customHeight="1" x14ac:dyDescent="0.25">
      <c r="A44" s="1" t="s">
        <v>79</v>
      </c>
      <c r="B44" s="17" t="s">
        <v>80</v>
      </c>
      <c r="C44" s="18"/>
      <c r="D44" s="18"/>
      <c r="F44" s="3">
        <v>3012.59</v>
      </c>
    </row>
    <row r="45" spans="1:6" ht="14.25" customHeight="1" x14ac:dyDescent="0.25">
      <c r="B45" s="21" t="s">
        <v>81</v>
      </c>
      <c r="C45" s="22"/>
      <c r="D45" s="23">
        <v>132448.73000000001</v>
      </c>
      <c r="E45" s="20"/>
      <c r="F45" s="20"/>
    </row>
    <row r="46" spans="1:6" ht="8.4" customHeight="1" x14ac:dyDescent="0.25"/>
    <row r="47" spans="1:6" ht="14.25" customHeight="1" x14ac:dyDescent="0.25">
      <c r="A47" s="1" t="s">
        <v>82</v>
      </c>
      <c r="B47" s="17" t="s">
        <v>83</v>
      </c>
      <c r="C47" s="18"/>
      <c r="D47" s="18"/>
      <c r="F47" s="3">
        <v>39126.58</v>
      </c>
    </row>
    <row r="48" spans="1:6" ht="14.25" customHeight="1" x14ac:dyDescent="0.25">
      <c r="A48" s="1" t="s">
        <v>84</v>
      </c>
      <c r="B48" s="17" t="s">
        <v>85</v>
      </c>
      <c r="C48" s="18"/>
      <c r="D48" s="18"/>
      <c r="F48" s="3">
        <v>3040.94</v>
      </c>
    </row>
    <row r="49" spans="1:6" ht="14.25" customHeight="1" x14ac:dyDescent="0.25">
      <c r="A49" s="1" t="s">
        <v>86</v>
      </c>
      <c r="B49" s="17" t="s">
        <v>87</v>
      </c>
      <c r="C49" s="18"/>
      <c r="D49" s="18"/>
      <c r="F49" s="3">
        <v>23890.560000000001</v>
      </c>
    </row>
    <row r="50" spans="1:6" ht="14.25" customHeight="1" x14ac:dyDescent="0.25">
      <c r="A50" s="1" t="s">
        <v>88</v>
      </c>
      <c r="B50" s="17" t="s">
        <v>89</v>
      </c>
      <c r="C50" s="18"/>
      <c r="D50" s="18"/>
      <c r="F50" s="3">
        <v>2053.77</v>
      </c>
    </row>
    <row r="51" spans="1:6" ht="14.25" customHeight="1" x14ac:dyDescent="0.25">
      <c r="B51" s="21" t="s">
        <v>90</v>
      </c>
      <c r="C51" s="22"/>
      <c r="D51" s="23">
        <v>68111.850000000006</v>
      </c>
      <c r="E51" s="20"/>
      <c r="F51" s="20"/>
    </row>
    <row r="52" spans="1:6" ht="8.4" customHeight="1" x14ac:dyDescent="0.25"/>
    <row r="53" spans="1:6" ht="14.25" customHeight="1" x14ac:dyDescent="0.25">
      <c r="A53" s="1" t="s">
        <v>91</v>
      </c>
      <c r="B53" s="17" t="s">
        <v>92</v>
      </c>
      <c r="C53" s="18"/>
      <c r="D53" s="18"/>
      <c r="F53" s="3">
        <v>492.18</v>
      </c>
    </row>
    <row r="54" spans="1:6" ht="14.25" customHeight="1" x14ac:dyDescent="0.25">
      <c r="B54" s="21" t="s">
        <v>93</v>
      </c>
      <c r="C54" s="22"/>
      <c r="D54" s="23">
        <v>492.18</v>
      </c>
      <c r="E54" s="20"/>
      <c r="F54" s="20"/>
    </row>
    <row r="55" spans="1:6" ht="8.4" customHeight="1" x14ac:dyDescent="0.25"/>
    <row r="56" spans="1:6" ht="14.25" customHeight="1" x14ac:dyDescent="0.25">
      <c r="A56" s="1" t="s">
        <v>94</v>
      </c>
      <c r="B56" s="17" t="s">
        <v>95</v>
      </c>
      <c r="C56" s="18"/>
      <c r="D56" s="18"/>
      <c r="F56" s="3">
        <v>2131.4899999999998</v>
      </c>
    </row>
    <row r="57" spans="1:6" ht="7.5" customHeight="1" x14ac:dyDescent="0.25"/>
    <row r="58" spans="1:6" ht="14.25" customHeight="1" x14ac:dyDescent="0.25">
      <c r="A58" s="1" t="s">
        <v>96</v>
      </c>
      <c r="B58" s="17" t="s">
        <v>97</v>
      </c>
      <c r="C58" s="18"/>
      <c r="D58" s="18"/>
      <c r="F58" s="3">
        <v>53580</v>
      </c>
    </row>
    <row r="59" spans="1:6" ht="14.25" customHeight="1" x14ac:dyDescent="0.25">
      <c r="B59" s="21" t="s">
        <v>98</v>
      </c>
      <c r="C59" s="22"/>
      <c r="D59" s="23">
        <v>55711.49</v>
      </c>
      <c r="E59" s="20"/>
      <c r="F59" s="20"/>
    </row>
    <row r="60" spans="1:6" ht="8.4" customHeight="1" x14ac:dyDescent="0.25"/>
    <row r="61" spans="1:6" ht="14.25" customHeight="1" x14ac:dyDescent="0.25">
      <c r="A61" s="1" t="s">
        <v>99</v>
      </c>
      <c r="B61" s="17" t="s">
        <v>100</v>
      </c>
      <c r="C61" s="18"/>
      <c r="D61" s="18"/>
      <c r="F61" s="3">
        <v>41096.879999999997</v>
      </c>
    </row>
    <row r="62" spans="1:6" ht="17.25" customHeight="1" x14ac:dyDescent="0.25">
      <c r="B62" s="21" t="s">
        <v>101</v>
      </c>
      <c r="C62" s="22"/>
      <c r="D62" s="23">
        <v>41096.879999999997</v>
      </c>
      <c r="E62" s="20"/>
      <c r="F62" s="20"/>
    </row>
    <row r="63" spans="1:6" ht="14.25" customHeight="1" x14ac:dyDescent="0.25">
      <c r="A63" s="21" t="s">
        <v>102</v>
      </c>
      <c r="B63" s="22"/>
      <c r="C63" s="22"/>
      <c r="D63" s="24">
        <v>648005.67000000004</v>
      </c>
      <c r="E63" s="20"/>
      <c r="F63" s="20"/>
    </row>
    <row r="64" spans="1:6" ht="11.4" customHeight="1" x14ac:dyDescent="0.25"/>
    <row r="65" spans="3:6" ht="11.4" customHeight="1" x14ac:dyDescent="0.25">
      <c r="C65" s="19" t="s">
        <v>103</v>
      </c>
      <c r="D65" s="20"/>
      <c r="E65" s="20"/>
      <c r="F65" s="20"/>
    </row>
    <row r="66" spans="3:6" ht="14.25" customHeight="1" x14ac:dyDescent="0.25"/>
  </sheetData>
  <mergeCells count="65">
    <mergeCell ref="B47:D47"/>
    <mergeCell ref="B51:C51"/>
    <mergeCell ref="D51:F51"/>
    <mergeCell ref="B53:D53"/>
    <mergeCell ref="B54:C54"/>
    <mergeCell ref="D54:F54"/>
    <mergeCell ref="B48:D48"/>
    <mergeCell ref="B49:D49"/>
    <mergeCell ref="B50:D50"/>
    <mergeCell ref="B5:C5"/>
    <mergeCell ref="D5:F5"/>
    <mergeCell ref="B7:D7"/>
    <mergeCell ref="B8:D8"/>
    <mergeCell ref="B1:D1"/>
    <mergeCell ref="B2:D2"/>
    <mergeCell ref="B3:D3"/>
    <mergeCell ref="B4:D4"/>
    <mergeCell ref="B13:C13"/>
    <mergeCell ref="D13:F13"/>
    <mergeCell ref="B15:D15"/>
    <mergeCell ref="B16:D16"/>
    <mergeCell ref="B9:D9"/>
    <mergeCell ref="B10:D10"/>
    <mergeCell ref="B11:D11"/>
    <mergeCell ref="B12:D12"/>
    <mergeCell ref="B21:D21"/>
    <mergeCell ref="B22:D22"/>
    <mergeCell ref="B23:D23"/>
    <mergeCell ref="B24:D24"/>
    <mergeCell ref="B17:D17"/>
    <mergeCell ref="B18:D18"/>
    <mergeCell ref="B19:D19"/>
    <mergeCell ref="B20:D20"/>
    <mergeCell ref="B29:D29"/>
    <mergeCell ref="B30:D30"/>
    <mergeCell ref="B31:D31"/>
    <mergeCell ref="B32:D32"/>
    <mergeCell ref="B25:D25"/>
    <mergeCell ref="B26:D26"/>
    <mergeCell ref="B27:D27"/>
    <mergeCell ref="B28:D28"/>
    <mergeCell ref="B37:D37"/>
    <mergeCell ref="B38:D38"/>
    <mergeCell ref="B39:D39"/>
    <mergeCell ref="B40:D40"/>
    <mergeCell ref="B33:D33"/>
    <mergeCell ref="B34:C34"/>
    <mergeCell ref="D34:F34"/>
    <mergeCell ref="B36:D36"/>
    <mergeCell ref="B41:D41"/>
    <mergeCell ref="B42:D42"/>
    <mergeCell ref="B43:D43"/>
    <mergeCell ref="B44:D44"/>
    <mergeCell ref="B45:C45"/>
    <mergeCell ref="D45:F45"/>
    <mergeCell ref="B56:D56"/>
    <mergeCell ref="C65:F65"/>
    <mergeCell ref="B62:C62"/>
    <mergeCell ref="D62:F62"/>
    <mergeCell ref="A63:C63"/>
    <mergeCell ref="D63:F63"/>
    <mergeCell ref="B58:D58"/>
    <mergeCell ref="B59:C59"/>
    <mergeCell ref="D59:F59"/>
    <mergeCell ref="B61:D61"/>
  </mergeCells>
  <phoneticPr fontId="0" type="noConversion"/>
  <pageMargins left="0.3611111111111111" right="0.3611111111111111" top="0.3611111111111111" bottom="0.3611111111111111" header="0.49212598499999999" footer="0.49212598499999999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opLeftCell="A31" workbookViewId="0">
      <selection activeCell="F37" sqref="F37"/>
    </sheetView>
  </sheetViews>
  <sheetFormatPr defaultColWidth="9.109375" defaultRowHeight="13.2" x14ac:dyDescent="0.25"/>
  <cols>
    <col min="1" max="1" width="9.6640625" style="2" customWidth="1"/>
    <col min="2" max="2" width="48.44140625" style="2" customWidth="1"/>
    <col min="3" max="3" width="12.5546875" style="2" customWidth="1"/>
    <col min="4" max="4" width="3.109375" style="2" customWidth="1"/>
    <col min="5" max="5" width="2.5546875" style="2" customWidth="1"/>
    <col min="6" max="6" width="17.6640625" style="2" customWidth="1"/>
    <col min="7" max="16384" width="9.109375" style="2"/>
  </cols>
  <sheetData>
    <row r="1" spans="1:6" ht="14.25" customHeight="1" x14ac:dyDescent="0.25">
      <c r="A1" s="1" t="s">
        <v>0</v>
      </c>
      <c r="B1" s="17" t="s">
        <v>1</v>
      </c>
      <c r="C1" s="18"/>
      <c r="D1" s="18"/>
      <c r="F1" s="3">
        <v>95338.03</v>
      </c>
    </row>
    <row r="2" spans="1:6" ht="14.25" customHeight="1" x14ac:dyDescent="0.25">
      <c r="A2" s="1" t="s">
        <v>2</v>
      </c>
      <c r="B2" s="17" t="s">
        <v>3</v>
      </c>
      <c r="C2" s="18"/>
      <c r="D2" s="18"/>
      <c r="F2" s="3">
        <v>15920.35</v>
      </c>
    </row>
    <row r="3" spans="1:6" ht="14.25" customHeight="1" x14ac:dyDescent="0.25">
      <c r="A3" s="1" t="s">
        <v>4</v>
      </c>
      <c r="B3" s="17" t="s">
        <v>5</v>
      </c>
      <c r="C3" s="18"/>
      <c r="D3" s="18"/>
      <c r="F3" s="3">
        <v>13399.74</v>
      </c>
    </row>
    <row r="4" spans="1:6" ht="14.25" customHeight="1" x14ac:dyDescent="0.25">
      <c r="A4" s="1" t="s">
        <v>6</v>
      </c>
      <c r="B4" s="17" t="s">
        <v>7</v>
      </c>
      <c r="C4" s="18"/>
      <c r="D4" s="18"/>
      <c r="F4" s="3">
        <v>61483.39</v>
      </c>
    </row>
    <row r="5" spans="1:6" ht="14.25" customHeight="1" x14ac:dyDescent="0.25">
      <c r="B5" s="21" t="s">
        <v>8</v>
      </c>
      <c r="C5" s="22"/>
      <c r="D5" s="23">
        <v>186141.51</v>
      </c>
      <c r="E5" s="20"/>
      <c r="F5" s="20"/>
    </row>
    <row r="6" spans="1:6" ht="8.4" customHeight="1" x14ac:dyDescent="0.25"/>
    <row r="7" spans="1:6" ht="14.25" customHeight="1" x14ac:dyDescent="0.25">
      <c r="A7" s="1" t="s">
        <v>9</v>
      </c>
      <c r="B7" s="17" t="s">
        <v>10</v>
      </c>
      <c r="C7" s="18"/>
      <c r="D7" s="18"/>
      <c r="F7" s="3">
        <v>25145.75</v>
      </c>
    </row>
    <row r="8" spans="1:6" ht="14.25" customHeight="1" x14ac:dyDescent="0.25">
      <c r="A8" s="1" t="s">
        <v>11</v>
      </c>
      <c r="B8" s="17" t="s">
        <v>12</v>
      </c>
      <c r="C8" s="18"/>
      <c r="D8" s="18"/>
      <c r="F8" s="3">
        <v>6131.27</v>
      </c>
    </row>
    <row r="9" spans="1:6" ht="14.25" customHeight="1" x14ac:dyDescent="0.25">
      <c r="A9" s="1" t="s">
        <v>13</v>
      </c>
      <c r="B9" s="17" t="s">
        <v>14</v>
      </c>
      <c r="C9" s="18"/>
      <c r="D9" s="18"/>
      <c r="F9" s="3">
        <v>3692.82</v>
      </c>
    </row>
    <row r="10" spans="1:6" ht="14.25" customHeight="1" x14ac:dyDescent="0.25">
      <c r="A10" s="1" t="s">
        <v>111</v>
      </c>
      <c r="B10" s="17" t="s">
        <v>112</v>
      </c>
      <c r="C10" s="18"/>
      <c r="D10" s="18"/>
      <c r="F10" s="3">
        <v>83.49</v>
      </c>
    </row>
    <row r="11" spans="1:6" ht="14.25" customHeight="1" x14ac:dyDescent="0.25">
      <c r="A11" s="1" t="s">
        <v>15</v>
      </c>
      <c r="B11" s="17" t="s">
        <v>16</v>
      </c>
      <c r="C11" s="18"/>
      <c r="D11" s="18"/>
      <c r="F11" s="3">
        <v>2319.54</v>
      </c>
    </row>
    <row r="12" spans="1:6" ht="14.25" customHeight="1" x14ac:dyDescent="0.25">
      <c r="A12" s="1" t="s">
        <v>17</v>
      </c>
      <c r="B12" s="17" t="s">
        <v>18</v>
      </c>
      <c r="C12" s="18"/>
      <c r="D12" s="18"/>
      <c r="F12" s="3">
        <v>300</v>
      </c>
    </row>
    <row r="13" spans="1:6" ht="14.25" customHeight="1" x14ac:dyDescent="0.25">
      <c r="A13" s="1" t="s">
        <v>19</v>
      </c>
      <c r="B13" s="17" t="s">
        <v>20</v>
      </c>
      <c r="C13" s="18"/>
      <c r="D13" s="18"/>
      <c r="F13" s="3">
        <v>9281</v>
      </c>
    </row>
    <row r="14" spans="1:6" ht="14.25" customHeight="1" x14ac:dyDescent="0.25">
      <c r="B14" s="21" t="s">
        <v>21</v>
      </c>
      <c r="C14" s="22"/>
      <c r="D14" s="23">
        <v>46953.87</v>
      </c>
      <c r="E14" s="20"/>
      <c r="F14" s="20"/>
    </row>
    <row r="15" spans="1:6" ht="8.4" customHeight="1" x14ac:dyDescent="0.25"/>
    <row r="16" spans="1:6" ht="14.25" customHeight="1" x14ac:dyDescent="0.25">
      <c r="A16" s="1" t="s">
        <v>22</v>
      </c>
      <c r="B16" s="17" t="s">
        <v>23</v>
      </c>
      <c r="C16" s="18"/>
      <c r="D16" s="18"/>
      <c r="F16" s="3">
        <v>25671.3</v>
      </c>
    </row>
    <row r="17" spans="1:6" ht="14.25" customHeight="1" x14ac:dyDescent="0.25">
      <c r="A17" s="1" t="s">
        <v>24</v>
      </c>
      <c r="B17" s="17" t="s">
        <v>25</v>
      </c>
      <c r="C17" s="18"/>
      <c r="D17" s="18"/>
      <c r="F17" s="3">
        <v>117</v>
      </c>
    </row>
    <row r="18" spans="1:6" ht="14.25" customHeight="1" x14ac:dyDescent="0.25">
      <c r="A18" s="1" t="s">
        <v>26</v>
      </c>
      <c r="B18" s="17" t="s">
        <v>27</v>
      </c>
      <c r="C18" s="18"/>
      <c r="D18" s="18"/>
      <c r="F18" s="3">
        <v>4069.47</v>
      </c>
    </row>
    <row r="19" spans="1:6" ht="14.25" customHeight="1" x14ac:dyDescent="0.25">
      <c r="A19" s="1" t="s">
        <v>28</v>
      </c>
      <c r="B19" s="17" t="s">
        <v>29</v>
      </c>
      <c r="C19" s="18"/>
      <c r="D19" s="18"/>
      <c r="F19" s="3">
        <v>568.67999999999995</v>
      </c>
    </row>
    <row r="20" spans="1:6" ht="14.25" customHeight="1" x14ac:dyDescent="0.25">
      <c r="A20" s="1" t="s">
        <v>30</v>
      </c>
      <c r="B20" s="17" t="s">
        <v>31</v>
      </c>
      <c r="C20" s="18"/>
      <c r="D20" s="18"/>
      <c r="F20" s="3">
        <v>119</v>
      </c>
    </row>
    <row r="21" spans="1:6" ht="14.25" customHeight="1" x14ac:dyDescent="0.25">
      <c r="A21" s="1" t="s">
        <v>32</v>
      </c>
      <c r="B21" s="17" t="s">
        <v>33</v>
      </c>
      <c r="C21" s="18"/>
      <c r="D21" s="18"/>
      <c r="F21" s="3">
        <v>749.44</v>
      </c>
    </row>
    <row r="22" spans="1:6" ht="14.25" customHeight="1" x14ac:dyDescent="0.25">
      <c r="A22" s="1" t="s">
        <v>34</v>
      </c>
      <c r="B22" s="17" t="s">
        <v>35</v>
      </c>
      <c r="C22" s="18"/>
      <c r="D22" s="18"/>
      <c r="F22" s="3">
        <v>664.44</v>
      </c>
    </row>
    <row r="23" spans="1:6" ht="14.25" customHeight="1" x14ac:dyDescent="0.25">
      <c r="A23" s="1" t="s">
        <v>36</v>
      </c>
      <c r="B23" s="17" t="s">
        <v>37</v>
      </c>
      <c r="C23" s="18"/>
      <c r="D23" s="18"/>
      <c r="F23" s="3">
        <v>10193.5</v>
      </c>
    </row>
    <row r="24" spans="1:6" ht="14.25" customHeight="1" x14ac:dyDescent="0.25">
      <c r="A24" s="1" t="s">
        <v>38</v>
      </c>
      <c r="B24" s="17" t="s">
        <v>39</v>
      </c>
      <c r="C24" s="18"/>
      <c r="D24" s="18"/>
      <c r="F24" s="3">
        <v>1866.82</v>
      </c>
    </row>
    <row r="25" spans="1:6" ht="14.25" customHeight="1" x14ac:dyDescent="0.25">
      <c r="A25" s="1" t="s">
        <v>40</v>
      </c>
      <c r="B25" s="17" t="s">
        <v>41</v>
      </c>
      <c r="C25" s="18"/>
      <c r="D25" s="18"/>
      <c r="F25" s="3">
        <v>677.16</v>
      </c>
    </row>
    <row r="26" spans="1:6" ht="14.25" customHeight="1" x14ac:dyDescent="0.25">
      <c r="A26" s="1" t="s">
        <v>44</v>
      </c>
      <c r="B26" s="17" t="s">
        <v>45</v>
      </c>
      <c r="C26" s="18"/>
      <c r="D26" s="18"/>
      <c r="F26" s="3">
        <v>18900</v>
      </c>
    </row>
    <row r="27" spans="1:6" ht="14.25" customHeight="1" x14ac:dyDescent="0.25">
      <c r="A27" s="1" t="s">
        <v>46</v>
      </c>
      <c r="B27" s="17" t="s">
        <v>47</v>
      </c>
      <c r="C27" s="18"/>
      <c r="D27" s="18"/>
      <c r="F27" s="3">
        <v>1320</v>
      </c>
    </row>
    <row r="28" spans="1:6" ht="14.25" customHeight="1" x14ac:dyDescent="0.25">
      <c r="A28" s="1" t="s">
        <v>48</v>
      </c>
      <c r="B28" s="17" t="s">
        <v>49</v>
      </c>
      <c r="C28" s="18"/>
      <c r="D28" s="18"/>
      <c r="F28" s="3">
        <v>3447</v>
      </c>
    </row>
    <row r="29" spans="1:6" ht="14.25" customHeight="1" x14ac:dyDescent="0.25">
      <c r="A29" s="1" t="s">
        <v>113</v>
      </c>
      <c r="B29" s="17" t="s">
        <v>114</v>
      </c>
      <c r="C29" s="18"/>
      <c r="D29" s="18"/>
      <c r="F29" s="3">
        <v>1008.88</v>
      </c>
    </row>
    <row r="30" spans="1:6" ht="14.25" customHeight="1" x14ac:dyDescent="0.25">
      <c r="A30" s="1" t="s">
        <v>50</v>
      </c>
      <c r="B30" s="17" t="s">
        <v>51</v>
      </c>
      <c r="C30" s="18"/>
      <c r="D30" s="18"/>
      <c r="F30" s="3">
        <v>3270</v>
      </c>
    </row>
    <row r="31" spans="1:6" ht="14.25" customHeight="1" x14ac:dyDescent="0.25">
      <c r="A31" s="1" t="s">
        <v>52</v>
      </c>
      <c r="B31" s="17" t="s">
        <v>53</v>
      </c>
      <c r="C31" s="18"/>
      <c r="D31" s="18"/>
      <c r="F31" s="3">
        <v>861.83</v>
      </c>
    </row>
    <row r="32" spans="1:6" ht="14.25" customHeight="1" x14ac:dyDescent="0.25">
      <c r="A32" s="1" t="s">
        <v>54</v>
      </c>
      <c r="B32" s="17" t="s">
        <v>55</v>
      </c>
      <c r="C32" s="18"/>
      <c r="D32" s="18"/>
      <c r="F32" s="3">
        <v>523.5</v>
      </c>
    </row>
    <row r="33" spans="1:6" ht="14.25" customHeight="1" x14ac:dyDescent="0.25">
      <c r="A33" s="1" t="s">
        <v>56</v>
      </c>
      <c r="B33" s="17" t="s">
        <v>57</v>
      </c>
      <c r="C33" s="18"/>
      <c r="D33" s="18"/>
      <c r="F33" s="3">
        <v>434.9</v>
      </c>
    </row>
    <row r="34" spans="1:6" ht="14.25" customHeight="1" x14ac:dyDescent="0.25">
      <c r="A34" s="1" t="s">
        <v>58</v>
      </c>
      <c r="B34" s="17" t="s">
        <v>59</v>
      </c>
      <c r="C34" s="18"/>
      <c r="D34" s="18"/>
      <c r="F34" s="3">
        <v>8758.7900000000009</v>
      </c>
    </row>
    <row r="35" spans="1:6" ht="14.25" customHeight="1" x14ac:dyDescent="0.25">
      <c r="B35" s="21" t="s">
        <v>60</v>
      </c>
      <c r="C35" s="22"/>
      <c r="D35" s="23">
        <v>83221.710000000006</v>
      </c>
      <c r="E35" s="20"/>
      <c r="F35" s="20"/>
    </row>
    <row r="36" spans="1:6" ht="8.4" customHeight="1" x14ac:dyDescent="0.25"/>
    <row r="37" spans="1:6" ht="14.25" customHeight="1" x14ac:dyDescent="0.25">
      <c r="A37" s="1" t="s">
        <v>61</v>
      </c>
      <c r="B37" s="17" t="s">
        <v>62</v>
      </c>
      <c r="C37" s="18"/>
      <c r="D37" s="18"/>
      <c r="F37" s="3">
        <f>720+39667.16</f>
        <v>40387.160000000003</v>
      </c>
    </row>
    <row r="38" spans="1:6" ht="14.25" customHeight="1" x14ac:dyDescent="0.25">
      <c r="A38" s="1" t="s">
        <v>63</v>
      </c>
      <c r="B38" s="17" t="s">
        <v>64</v>
      </c>
      <c r="C38" s="18"/>
      <c r="D38" s="18"/>
      <c r="F38" s="3">
        <v>27389.32</v>
      </c>
    </row>
    <row r="39" spans="1:6" ht="14.25" customHeight="1" x14ac:dyDescent="0.25">
      <c r="A39" s="1" t="s">
        <v>65</v>
      </c>
      <c r="B39" s="17" t="s">
        <v>66</v>
      </c>
      <c r="C39" s="18"/>
      <c r="D39" s="18"/>
      <c r="F39" s="3">
        <v>8601</v>
      </c>
    </row>
    <row r="40" spans="1:6" ht="14.25" customHeight="1" x14ac:dyDescent="0.25">
      <c r="A40" s="1" t="s">
        <v>67</v>
      </c>
      <c r="B40" s="17" t="s">
        <v>68</v>
      </c>
      <c r="C40" s="18"/>
      <c r="D40" s="18"/>
      <c r="F40" s="3">
        <v>5302.65</v>
      </c>
    </row>
    <row r="41" spans="1:6" ht="14.25" customHeight="1" x14ac:dyDescent="0.25">
      <c r="A41" s="1" t="s">
        <v>115</v>
      </c>
      <c r="B41" s="17" t="s">
        <v>116</v>
      </c>
      <c r="C41" s="18"/>
      <c r="D41" s="18"/>
      <c r="F41" s="3">
        <v>14738.81</v>
      </c>
    </row>
    <row r="42" spans="1:6" ht="14.25" customHeight="1" x14ac:dyDescent="0.25">
      <c r="A42" s="1" t="s">
        <v>69</v>
      </c>
      <c r="B42" s="17" t="s">
        <v>70</v>
      </c>
      <c r="C42" s="18"/>
      <c r="D42" s="18"/>
      <c r="F42" s="3">
        <v>7528.19</v>
      </c>
    </row>
    <row r="43" spans="1:6" ht="14.25" customHeight="1" x14ac:dyDescent="0.25">
      <c r="A43" s="1" t="s">
        <v>117</v>
      </c>
      <c r="B43" s="17" t="s">
        <v>118</v>
      </c>
      <c r="C43" s="18"/>
      <c r="D43" s="18"/>
      <c r="F43" s="3">
        <v>150</v>
      </c>
    </row>
    <row r="44" spans="1:6" ht="14.25" customHeight="1" x14ac:dyDescent="0.25">
      <c r="A44" s="1" t="s">
        <v>71</v>
      </c>
      <c r="B44" s="17" t="s">
        <v>72</v>
      </c>
      <c r="C44" s="18"/>
      <c r="D44" s="18"/>
      <c r="F44" s="3">
        <v>3736</v>
      </c>
    </row>
    <row r="45" spans="1:6" ht="14.25" customHeight="1" x14ac:dyDescent="0.25">
      <c r="A45" s="1" t="s">
        <v>73</v>
      </c>
      <c r="B45" s="17" t="s">
        <v>74</v>
      </c>
      <c r="C45" s="18"/>
      <c r="D45" s="18"/>
      <c r="F45" s="3">
        <v>2366</v>
      </c>
    </row>
    <row r="46" spans="1:6" ht="14.25" customHeight="1" x14ac:dyDescent="0.25">
      <c r="A46" s="1" t="s">
        <v>75</v>
      </c>
      <c r="B46" s="17" t="s">
        <v>76</v>
      </c>
      <c r="C46" s="18"/>
      <c r="D46" s="18"/>
      <c r="F46" s="3">
        <v>2828.03</v>
      </c>
    </row>
    <row r="47" spans="1:6" ht="14.25" customHeight="1" x14ac:dyDescent="0.25">
      <c r="A47" s="1" t="s">
        <v>77</v>
      </c>
      <c r="B47" s="17" t="s">
        <v>78</v>
      </c>
      <c r="C47" s="18"/>
      <c r="D47" s="18"/>
      <c r="F47" s="3">
        <v>204.16</v>
      </c>
    </row>
    <row r="48" spans="1:6" ht="14.25" customHeight="1" x14ac:dyDescent="0.25">
      <c r="A48" s="1" t="s">
        <v>79</v>
      </c>
      <c r="B48" s="17" t="s">
        <v>80</v>
      </c>
      <c r="C48" s="18"/>
      <c r="D48" s="18"/>
      <c r="F48" s="3">
        <v>600.01</v>
      </c>
    </row>
    <row r="49" spans="1:6" ht="14.25" customHeight="1" x14ac:dyDescent="0.25">
      <c r="B49" s="21" t="s">
        <v>81</v>
      </c>
      <c r="C49" s="22"/>
      <c r="D49" s="23">
        <v>74164.17</v>
      </c>
      <c r="E49" s="20"/>
      <c r="F49" s="20"/>
    </row>
    <row r="50" spans="1:6" ht="8.4" customHeight="1" x14ac:dyDescent="0.25"/>
    <row r="51" spans="1:6" ht="14.25" customHeight="1" x14ac:dyDescent="0.25">
      <c r="A51" s="1" t="s">
        <v>82</v>
      </c>
      <c r="B51" s="17" t="s">
        <v>83</v>
      </c>
      <c r="C51" s="18"/>
      <c r="D51" s="18"/>
      <c r="F51" s="3">
        <v>42504.160000000003</v>
      </c>
    </row>
    <row r="52" spans="1:6" ht="14.25" customHeight="1" x14ac:dyDescent="0.25">
      <c r="A52" s="1" t="s">
        <v>84</v>
      </c>
      <c r="B52" s="17" t="s">
        <v>85</v>
      </c>
      <c r="C52" s="18"/>
      <c r="D52" s="18"/>
      <c r="F52" s="3">
        <v>3188.59</v>
      </c>
    </row>
    <row r="53" spans="1:6" ht="14.25" customHeight="1" x14ac:dyDescent="0.25">
      <c r="A53" s="1" t="s">
        <v>86</v>
      </c>
      <c r="B53" s="17" t="s">
        <v>87</v>
      </c>
      <c r="C53" s="18"/>
      <c r="D53" s="18"/>
      <c r="F53" s="3">
        <v>23890.560000000001</v>
      </c>
    </row>
    <row r="54" spans="1:6" ht="14.25" customHeight="1" x14ac:dyDescent="0.25">
      <c r="A54" s="1" t="s">
        <v>88</v>
      </c>
      <c r="B54" s="17" t="s">
        <v>89</v>
      </c>
      <c r="C54" s="18"/>
      <c r="D54" s="18"/>
      <c r="F54" s="3">
        <v>2316.92</v>
      </c>
    </row>
    <row r="55" spans="1:6" ht="14.25" customHeight="1" x14ac:dyDescent="0.25">
      <c r="B55" s="21" t="s">
        <v>90</v>
      </c>
      <c r="C55" s="22"/>
      <c r="D55" s="23">
        <v>71900.23</v>
      </c>
      <c r="E55" s="20"/>
      <c r="F55" s="20"/>
    </row>
    <row r="56" spans="1:6" ht="7.5" customHeight="1" x14ac:dyDescent="0.25"/>
    <row r="57" spans="1:6" ht="14.25" customHeight="1" x14ac:dyDescent="0.25">
      <c r="A57" s="1" t="s">
        <v>91</v>
      </c>
      <c r="B57" s="17" t="s">
        <v>92</v>
      </c>
      <c r="C57" s="18"/>
      <c r="D57" s="18"/>
      <c r="F57" s="3">
        <v>4334.58</v>
      </c>
    </row>
    <row r="58" spans="1:6" ht="14.25" customHeight="1" x14ac:dyDescent="0.25">
      <c r="B58" s="21" t="s">
        <v>93</v>
      </c>
      <c r="C58" s="22"/>
      <c r="D58" s="23">
        <v>4334.58</v>
      </c>
      <c r="E58" s="20"/>
      <c r="F58" s="20"/>
    </row>
    <row r="59" spans="1:6" ht="8.4" customHeight="1" x14ac:dyDescent="0.25"/>
    <row r="60" spans="1:6" ht="14.25" customHeight="1" x14ac:dyDescent="0.25">
      <c r="A60" s="1" t="s">
        <v>94</v>
      </c>
      <c r="B60" s="17" t="s">
        <v>95</v>
      </c>
      <c r="C60" s="18"/>
      <c r="D60" s="18"/>
      <c r="F60" s="3">
        <v>2131.4899999999998</v>
      </c>
    </row>
    <row r="61" spans="1:6" ht="14.25" customHeight="1" x14ac:dyDescent="0.25">
      <c r="A61" s="1" t="s">
        <v>96</v>
      </c>
      <c r="B61" s="17" t="s">
        <v>97</v>
      </c>
      <c r="C61" s="18"/>
      <c r="D61" s="18"/>
      <c r="F61" s="3">
        <v>31638.26</v>
      </c>
    </row>
    <row r="62" spans="1:6" ht="14.25" customHeight="1" x14ac:dyDescent="0.25">
      <c r="B62" s="21" t="s">
        <v>98</v>
      </c>
      <c r="C62" s="22"/>
      <c r="D62" s="23">
        <v>33769.75</v>
      </c>
      <c r="E62" s="20"/>
      <c r="F62" s="20"/>
    </row>
    <row r="63" spans="1:6" ht="8.4" customHeight="1" x14ac:dyDescent="0.25"/>
    <row r="64" spans="1:6" ht="14.25" customHeight="1" x14ac:dyDescent="0.25">
      <c r="A64" s="1" t="s">
        <v>99</v>
      </c>
      <c r="B64" s="17" t="s">
        <v>100</v>
      </c>
      <c r="C64" s="18"/>
      <c r="D64" s="18"/>
      <c r="F64" s="3">
        <v>102723.3</v>
      </c>
    </row>
    <row r="65" spans="1:6" ht="17.25" customHeight="1" x14ac:dyDescent="0.25">
      <c r="B65" s="21" t="s">
        <v>101</v>
      </c>
      <c r="C65" s="22"/>
      <c r="D65" s="23">
        <v>102723.3</v>
      </c>
      <c r="E65" s="20"/>
      <c r="F65" s="20"/>
    </row>
    <row r="66" spans="1:6" ht="14.25" customHeight="1" x14ac:dyDescent="0.25">
      <c r="A66" s="21" t="s">
        <v>102</v>
      </c>
      <c r="B66" s="22"/>
      <c r="C66" s="22"/>
      <c r="D66" s="24">
        <v>603209.12</v>
      </c>
      <c r="E66" s="20"/>
      <c r="F66" s="20"/>
    </row>
    <row r="67" spans="1:6" ht="11.4" customHeight="1" x14ac:dyDescent="0.25"/>
    <row r="68" spans="1:6" ht="11.4" customHeight="1" x14ac:dyDescent="0.25">
      <c r="C68" s="19" t="s">
        <v>119</v>
      </c>
      <c r="D68" s="20"/>
      <c r="E68" s="20"/>
      <c r="F68" s="20"/>
    </row>
    <row r="69" spans="1:6" ht="14.25" customHeight="1" x14ac:dyDescent="0.25"/>
  </sheetData>
  <mergeCells count="69">
    <mergeCell ref="C68:F68"/>
    <mergeCell ref="B60:D60"/>
    <mergeCell ref="B64:D64"/>
    <mergeCell ref="B65:C65"/>
    <mergeCell ref="D65:F65"/>
    <mergeCell ref="A66:C66"/>
    <mergeCell ref="D66:F66"/>
    <mergeCell ref="B61:D61"/>
    <mergeCell ref="B62:C62"/>
    <mergeCell ref="D62:F62"/>
    <mergeCell ref="B55:C55"/>
    <mergeCell ref="D55:F55"/>
    <mergeCell ref="B57:D57"/>
    <mergeCell ref="B58:C58"/>
    <mergeCell ref="D58:F58"/>
    <mergeCell ref="B51:D51"/>
    <mergeCell ref="B54:D54"/>
    <mergeCell ref="B49:C49"/>
    <mergeCell ref="D49:F49"/>
    <mergeCell ref="B52:D52"/>
    <mergeCell ref="B53:D53"/>
    <mergeCell ref="B43:D43"/>
    <mergeCell ref="B44:D44"/>
    <mergeCell ref="B45:D45"/>
    <mergeCell ref="B48:D48"/>
    <mergeCell ref="B46:D46"/>
    <mergeCell ref="B47:D47"/>
    <mergeCell ref="B42:D42"/>
    <mergeCell ref="B31:D31"/>
    <mergeCell ref="B32:D32"/>
    <mergeCell ref="B33:D33"/>
    <mergeCell ref="B34:D34"/>
    <mergeCell ref="B35:C35"/>
    <mergeCell ref="D35:F35"/>
    <mergeCell ref="B37:D37"/>
    <mergeCell ref="B38:D38"/>
    <mergeCell ref="B39:D39"/>
    <mergeCell ref="B40:D40"/>
    <mergeCell ref="B41:D41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6:D16"/>
    <mergeCell ref="B17:D17"/>
    <mergeCell ref="B18:D18"/>
    <mergeCell ref="B13:D13"/>
    <mergeCell ref="B14:C14"/>
    <mergeCell ref="D14:F14"/>
    <mergeCell ref="B12:D12"/>
    <mergeCell ref="B1:D1"/>
    <mergeCell ref="B2:D2"/>
    <mergeCell ref="B3:D3"/>
    <mergeCell ref="B4:D4"/>
    <mergeCell ref="B5:C5"/>
    <mergeCell ref="D5:F5"/>
    <mergeCell ref="B7:D7"/>
    <mergeCell ref="B8:D8"/>
    <mergeCell ref="B9:D9"/>
    <mergeCell ref="B10:D10"/>
    <mergeCell ref="B11:D11"/>
  </mergeCells>
  <phoneticPr fontId="0" type="noConversion"/>
  <pageMargins left="0.78740157499999996" right="0.78740157499999996" top="0.984251969" bottom="0.984251969" header="0.49212598499999999" footer="0.49212598499999999"/>
  <pageSetup paperSize="9" scale="83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opLeftCell="A31" workbookViewId="0"/>
  </sheetViews>
  <sheetFormatPr defaultColWidth="9.109375" defaultRowHeight="13.2" x14ac:dyDescent="0.25"/>
  <cols>
    <col min="1" max="1" width="9.6640625" style="2" customWidth="1"/>
    <col min="2" max="2" width="48.44140625" style="2" customWidth="1"/>
    <col min="3" max="3" width="12.5546875" style="2" customWidth="1"/>
    <col min="4" max="4" width="3.109375" style="2" customWidth="1"/>
    <col min="5" max="5" width="2.5546875" style="2" customWidth="1"/>
    <col min="6" max="6" width="17.6640625" style="2" customWidth="1"/>
    <col min="7" max="16384" width="9.109375" style="2"/>
  </cols>
  <sheetData>
    <row r="1" spans="1:6" ht="14.25" customHeight="1" x14ac:dyDescent="0.25">
      <c r="A1" s="1" t="s">
        <v>0</v>
      </c>
      <c r="B1" s="17" t="s">
        <v>1</v>
      </c>
      <c r="C1" s="18"/>
      <c r="D1" s="18"/>
      <c r="F1" s="3">
        <v>269871.96999999997</v>
      </c>
    </row>
    <row r="2" spans="1:6" ht="14.25" customHeight="1" x14ac:dyDescent="0.25">
      <c r="A2" s="1" t="s">
        <v>2</v>
      </c>
      <c r="B2" s="17" t="s">
        <v>3</v>
      </c>
      <c r="C2" s="18"/>
      <c r="D2" s="18"/>
      <c r="F2" s="3">
        <v>14694.64</v>
      </c>
    </row>
    <row r="3" spans="1:6" ht="14.25" customHeight="1" x14ac:dyDescent="0.25">
      <c r="A3" s="1" t="s">
        <v>4</v>
      </c>
      <c r="B3" s="17" t="s">
        <v>5</v>
      </c>
      <c r="C3" s="18"/>
      <c r="D3" s="18"/>
      <c r="F3" s="3">
        <v>1370.95</v>
      </c>
    </row>
    <row r="4" spans="1:6" ht="14.25" customHeight="1" x14ac:dyDescent="0.25">
      <c r="A4" s="1" t="s">
        <v>6</v>
      </c>
      <c r="B4" s="17" t="s">
        <v>7</v>
      </c>
      <c r="C4" s="18"/>
      <c r="D4" s="18"/>
      <c r="F4" s="3">
        <v>68945.070000000007</v>
      </c>
    </row>
    <row r="5" spans="1:6" ht="14.25" customHeight="1" x14ac:dyDescent="0.25">
      <c r="B5" s="21" t="s">
        <v>8</v>
      </c>
      <c r="C5" s="22"/>
      <c r="D5" s="23">
        <v>354882.63</v>
      </c>
      <c r="E5" s="20"/>
      <c r="F5" s="20"/>
    </row>
    <row r="6" spans="1:6" ht="8.4" customHeight="1" x14ac:dyDescent="0.25"/>
    <row r="7" spans="1:6" ht="14.25" customHeight="1" x14ac:dyDescent="0.25">
      <c r="A7" s="1" t="s">
        <v>9</v>
      </c>
      <c r="B7" s="17" t="s">
        <v>10</v>
      </c>
      <c r="C7" s="18"/>
      <c r="D7" s="18"/>
      <c r="F7" s="3">
        <v>16681.07</v>
      </c>
    </row>
    <row r="8" spans="1:6" ht="14.25" customHeight="1" x14ac:dyDescent="0.25">
      <c r="A8" s="1" t="s">
        <v>11</v>
      </c>
      <c r="B8" s="17" t="s">
        <v>12</v>
      </c>
      <c r="C8" s="18"/>
      <c r="D8" s="18"/>
      <c r="F8" s="3">
        <v>5847.18</v>
      </c>
    </row>
    <row r="9" spans="1:6" ht="14.25" customHeight="1" x14ac:dyDescent="0.25">
      <c r="A9" s="1" t="s">
        <v>13</v>
      </c>
      <c r="B9" s="17" t="s">
        <v>14</v>
      </c>
      <c r="C9" s="18"/>
      <c r="D9" s="18"/>
      <c r="F9" s="3">
        <v>1720</v>
      </c>
    </row>
    <row r="10" spans="1:6" ht="14.25" customHeight="1" x14ac:dyDescent="0.25">
      <c r="A10" s="1" t="s">
        <v>15</v>
      </c>
      <c r="B10" s="17" t="s">
        <v>16</v>
      </c>
      <c r="C10" s="18"/>
      <c r="D10" s="18"/>
      <c r="F10" s="3">
        <v>2319.54</v>
      </c>
    </row>
    <row r="11" spans="1:6" ht="14.25" customHeight="1" x14ac:dyDescent="0.25">
      <c r="A11" s="1" t="s">
        <v>19</v>
      </c>
      <c r="B11" s="17" t="s">
        <v>20</v>
      </c>
      <c r="C11" s="18"/>
      <c r="D11" s="18"/>
      <c r="F11" s="3">
        <v>11751.23</v>
      </c>
    </row>
    <row r="12" spans="1:6" ht="14.25" customHeight="1" x14ac:dyDescent="0.25">
      <c r="B12" s="21" t="s">
        <v>21</v>
      </c>
      <c r="C12" s="22"/>
      <c r="D12" s="23">
        <v>38319.019999999997</v>
      </c>
      <c r="E12" s="20"/>
      <c r="F12" s="20"/>
    </row>
    <row r="13" spans="1:6" ht="8.4" customHeight="1" x14ac:dyDescent="0.25"/>
    <row r="14" spans="1:6" ht="14.25" customHeight="1" x14ac:dyDescent="0.25">
      <c r="A14" s="1" t="s">
        <v>22</v>
      </c>
      <c r="B14" s="17" t="s">
        <v>23</v>
      </c>
      <c r="C14" s="18"/>
      <c r="D14" s="18"/>
      <c r="F14" s="3">
        <v>16737.900000000001</v>
      </c>
    </row>
    <row r="15" spans="1:6" ht="14.25" customHeight="1" x14ac:dyDescent="0.25">
      <c r="A15" s="1" t="s">
        <v>24</v>
      </c>
      <c r="B15" s="17" t="s">
        <v>25</v>
      </c>
      <c r="C15" s="18"/>
      <c r="D15" s="18"/>
      <c r="F15" s="3">
        <v>117</v>
      </c>
    </row>
    <row r="16" spans="1:6" ht="14.25" customHeight="1" x14ac:dyDescent="0.25">
      <c r="A16" s="1" t="s">
        <v>26</v>
      </c>
      <c r="B16" s="17" t="s">
        <v>27</v>
      </c>
      <c r="C16" s="18"/>
      <c r="D16" s="18"/>
      <c r="F16" s="3">
        <v>5325.15</v>
      </c>
    </row>
    <row r="17" spans="1:6" ht="14.25" customHeight="1" x14ac:dyDescent="0.25">
      <c r="A17" s="1" t="s">
        <v>28</v>
      </c>
      <c r="B17" s="17" t="s">
        <v>29</v>
      </c>
      <c r="C17" s="18"/>
      <c r="D17" s="18"/>
      <c r="F17" s="3">
        <v>568.67999999999995</v>
      </c>
    </row>
    <row r="18" spans="1:6" ht="14.25" customHeight="1" x14ac:dyDescent="0.25">
      <c r="A18" s="1" t="s">
        <v>30</v>
      </c>
      <c r="B18" s="17" t="s">
        <v>31</v>
      </c>
      <c r="C18" s="18"/>
      <c r="D18" s="18"/>
      <c r="F18" s="3">
        <v>119</v>
      </c>
    </row>
    <row r="19" spans="1:6" ht="14.25" customHeight="1" x14ac:dyDescent="0.25">
      <c r="A19" s="1" t="s">
        <v>32</v>
      </c>
      <c r="B19" s="17" t="s">
        <v>33</v>
      </c>
      <c r="C19" s="18"/>
      <c r="D19" s="18"/>
      <c r="F19" s="3">
        <v>1174.5</v>
      </c>
    </row>
    <row r="20" spans="1:6" ht="14.25" customHeight="1" x14ac:dyDescent="0.25">
      <c r="A20" s="1" t="s">
        <v>34</v>
      </c>
      <c r="B20" s="17" t="s">
        <v>35</v>
      </c>
      <c r="C20" s="18"/>
      <c r="D20" s="18"/>
      <c r="F20" s="3">
        <v>1422.2</v>
      </c>
    </row>
    <row r="21" spans="1:6" ht="14.25" customHeight="1" x14ac:dyDescent="0.25">
      <c r="A21" s="1" t="s">
        <v>36</v>
      </c>
      <c r="B21" s="17" t="s">
        <v>37</v>
      </c>
      <c r="C21" s="18"/>
      <c r="D21" s="18"/>
      <c r="F21" s="3">
        <v>7043</v>
      </c>
    </row>
    <row r="22" spans="1:6" ht="14.25" customHeight="1" x14ac:dyDescent="0.25">
      <c r="A22" s="1" t="s">
        <v>38</v>
      </c>
      <c r="B22" s="17" t="s">
        <v>39</v>
      </c>
      <c r="C22" s="18"/>
      <c r="D22" s="18"/>
      <c r="F22" s="3">
        <v>2140</v>
      </c>
    </row>
    <row r="23" spans="1:6" ht="14.25" customHeight="1" x14ac:dyDescent="0.25">
      <c r="A23" s="1" t="s">
        <v>40</v>
      </c>
      <c r="B23" s="17" t="s">
        <v>41</v>
      </c>
      <c r="C23" s="18"/>
      <c r="D23" s="18"/>
      <c r="F23" s="3">
        <v>406.5</v>
      </c>
    </row>
    <row r="24" spans="1:6" ht="14.25" customHeight="1" x14ac:dyDescent="0.25">
      <c r="A24" s="1" t="s">
        <v>120</v>
      </c>
      <c r="B24" s="17" t="s">
        <v>121</v>
      </c>
      <c r="C24" s="18"/>
      <c r="D24" s="18"/>
      <c r="F24" s="3">
        <v>502.8</v>
      </c>
    </row>
    <row r="25" spans="1:6" ht="14.25" customHeight="1" x14ac:dyDescent="0.25">
      <c r="A25" s="1" t="s">
        <v>44</v>
      </c>
      <c r="B25" s="17" t="s">
        <v>45</v>
      </c>
      <c r="C25" s="18"/>
      <c r="D25" s="18"/>
      <c r="F25" s="3">
        <v>57275</v>
      </c>
    </row>
    <row r="26" spans="1:6" ht="14.25" customHeight="1" x14ac:dyDescent="0.25">
      <c r="A26" s="1" t="s">
        <v>46</v>
      </c>
      <c r="B26" s="17" t="s">
        <v>47</v>
      </c>
      <c r="C26" s="18"/>
      <c r="D26" s="18"/>
      <c r="F26" s="3">
        <v>1820</v>
      </c>
    </row>
    <row r="27" spans="1:6" ht="14.25" customHeight="1" x14ac:dyDescent="0.25">
      <c r="A27" s="1" t="s">
        <v>48</v>
      </c>
      <c r="B27" s="17" t="s">
        <v>49</v>
      </c>
      <c r="C27" s="18"/>
      <c r="D27" s="18"/>
      <c r="F27" s="3">
        <v>3617</v>
      </c>
    </row>
    <row r="28" spans="1:6" ht="14.25" customHeight="1" x14ac:dyDescent="0.25">
      <c r="A28" s="1" t="s">
        <v>50</v>
      </c>
      <c r="B28" s="17" t="s">
        <v>51</v>
      </c>
      <c r="C28" s="18"/>
      <c r="D28" s="18"/>
      <c r="F28" s="3">
        <v>3270</v>
      </c>
    </row>
    <row r="29" spans="1:6" ht="14.25" customHeight="1" x14ac:dyDescent="0.25">
      <c r="A29" s="1" t="s">
        <v>52</v>
      </c>
      <c r="B29" s="17" t="s">
        <v>53</v>
      </c>
      <c r="C29" s="18"/>
      <c r="D29" s="18"/>
      <c r="F29" s="3">
        <v>881.57</v>
      </c>
    </row>
    <row r="30" spans="1:6" ht="14.25" customHeight="1" x14ac:dyDescent="0.25">
      <c r="A30" s="1" t="s">
        <v>54</v>
      </c>
      <c r="B30" s="17" t="s">
        <v>55</v>
      </c>
      <c r="C30" s="18"/>
      <c r="D30" s="18"/>
      <c r="F30" s="3">
        <v>2068.75</v>
      </c>
    </row>
    <row r="31" spans="1:6" ht="14.25" customHeight="1" x14ac:dyDescent="0.25">
      <c r="A31" s="1" t="s">
        <v>56</v>
      </c>
      <c r="B31" s="17" t="s">
        <v>57</v>
      </c>
      <c r="C31" s="18"/>
      <c r="D31" s="18"/>
      <c r="F31" s="3">
        <v>840.95</v>
      </c>
    </row>
    <row r="32" spans="1:6" ht="14.25" customHeight="1" x14ac:dyDescent="0.25">
      <c r="A32" s="1" t="s">
        <v>58</v>
      </c>
      <c r="B32" s="17" t="s">
        <v>59</v>
      </c>
      <c r="C32" s="18"/>
      <c r="D32" s="18"/>
      <c r="F32" s="3">
        <v>5767.13</v>
      </c>
    </row>
    <row r="33" spans="1:6" ht="14.25" customHeight="1" x14ac:dyDescent="0.25">
      <c r="B33" s="21" t="s">
        <v>60</v>
      </c>
      <c r="C33" s="22"/>
      <c r="D33" s="23">
        <v>111097.13</v>
      </c>
      <c r="E33" s="20"/>
      <c r="F33" s="20"/>
    </row>
    <row r="34" spans="1:6" ht="8.4" customHeight="1" x14ac:dyDescent="0.25"/>
    <row r="35" spans="1:6" ht="14.25" customHeight="1" x14ac:dyDescent="0.25">
      <c r="A35" s="1" t="s">
        <v>61</v>
      </c>
      <c r="B35" s="17" t="s">
        <v>62</v>
      </c>
      <c r="C35" s="18"/>
      <c r="D35" s="18"/>
      <c r="F35" s="3">
        <v>39695.74</v>
      </c>
    </row>
    <row r="36" spans="1:6" ht="14.25" customHeight="1" x14ac:dyDescent="0.25">
      <c r="A36" s="1" t="s">
        <v>63</v>
      </c>
      <c r="B36" s="17" t="s">
        <v>64</v>
      </c>
      <c r="C36" s="18"/>
      <c r="D36" s="18"/>
      <c r="F36" s="3">
        <v>23767.13</v>
      </c>
    </row>
    <row r="37" spans="1:6" ht="14.25" customHeight="1" x14ac:dyDescent="0.25">
      <c r="A37" s="1" t="s">
        <v>65</v>
      </c>
      <c r="B37" s="17" t="s">
        <v>66</v>
      </c>
      <c r="C37" s="18"/>
      <c r="D37" s="18"/>
      <c r="F37" s="3">
        <v>10048.15</v>
      </c>
    </row>
    <row r="38" spans="1:6" ht="14.25" customHeight="1" x14ac:dyDescent="0.25">
      <c r="A38" s="1" t="s">
        <v>67</v>
      </c>
      <c r="B38" s="17" t="s">
        <v>68</v>
      </c>
      <c r="C38" s="18"/>
      <c r="D38" s="18"/>
      <c r="F38" s="3">
        <v>14448.2</v>
      </c>
    </row>
    <row r="39" spans="1:6" ht="14.25" customHeight="1" x14ac:dyDescent="0.25">
      <c r="A39" s="1" t="s">
        <v>115</v>
      </c>
      <c r="B39" s="17" t="s">
        <v>116</v>
      </c>
      <c r="C39" s="18"/>
      <c r="D39" s="18"/>
      <c r="F39" s="3">
        <v>5690.41</v>
      </c>
    </row>
    <row r="40" spans="1:6" ht="14.25" customHeight="1" x14ac:dyDescent="0.25">
      <c r="A40" s="1" t="s">
        <v>69</v>
      </c>
      <c r="B40" s="17" t="s">
        <v>70</v>
      </c>
      <c r="C40" s="18"/>
      <c r="D40" s="18"/>
      <c r="F40" s="3">
        <v>1083.5</v>
      </c>
    </row>
    <row r="41" spans="1:6" ht="14.25" customHeight="1" x14ac:dyDescent="0.25">
      <c r="A41" s="1" t="s">
        <v>71</v>
      </c>
      <c r="B41" s="17" t="s">
        <v>72</v>
      </c>
      <c r="C41" s="18"/>
      <c r="D41" s="18"/>
      <c r="F41" s="3">
        <v>4416</v>
      </c>
    </row>
    <row r="42" spans="1:6" ht="14.25" customHeight="1" x14ac:dyDescent="0.25">
      <c r="A42" s="1" t="s">
        <v>73</v>
      </c>
      <c r="B42" s="17" t="s">
        <v>74</v>
      </c>
      <c r="C42" s="18"/>
      <c r="D42" s="18"/>
      <c r="F42" s="3">
        <v>2197</v>
      </c>
    </row>
    <row r="43" spans="1:6" ht="14.25" customHeight="1" x14ac:dyDescent="0.25">
      <c r="A43" s="1" t="s">
        <v>75</v>
      </c>
      <c r="B43" s="17" t="s">
        <v>76</v>
      </c>
      <c r="C43" s="18"/>
      <c r="D43" s="18"/>
      <c r="F43" s="3">
        <v>2580.4899999999998</v>
      </c>
    </row>
    <row r="44" spans="1:6" ht="14.25" customHeight="1" x14ac:dyDescent="0.25">
      <c r="A44" s="1" t="s">
        <v>122</v>
      </c>
      <c r="B44" s="17" t="s">
        <v>123</v>
      </c>
      <c r="C44" s="18"/>
      <c r="D44" s="18"/>
      <c r="F44" s="3">
        <v>295.26</v>
      </c>
    </row>
    <row r="45" spans="1:6" ht="14.25" customHeight="1" x14ac:dyDescent="0.25">
      <c r="A45" s="1" t="s">
        <v>77</v>
      </c>
      <c r="B45" s="17" t="s">
        <v>78</v>
      </c>
      <c r="C45" s="18"/>
      <c r="D45" s="18"/>
      <c r="F45" s="3">
        <v>204.16</v>
      </c>
    </row>
    <row r="46" spans="1:6" ht="14.25" customHeight="1" x14ac:dyDescent="0.25">
      <c r="A46" s="1" t="s">
        <v>79</v>
      </c>
      <c r="B46" s="17" t="s">
        <v>80</v>
      </c>
      <c r="C46" s="18"/>
      <c r="D46" s="18"/>
      <c r="F46" s="3">
        <v>1113.74</v>
      </c>
    </row>
    <row r="47" spans="1:6" ht="14.25" customHeight="1" x14ac:dyDescent="0.25">
      <c r="B47" s="21" t="s">
        <v>81</v>
      </c>
      <c r="C47" s="22"/>
      <c r="D47" s="23">
        <v>105539.78</v>
      </c>
      <c r="E47" s="20"/>
      <c r="F47" s="20"/>
    </row>
    <row r="48" spans="1:6" ht="8.4" customHeight="1" x14ac:dyDescent="0.25"/>
    <row r="49" spans="1:6" ht="14.25" customHeight="1" x14ac:dyDescent="0.25">
      <c r="A49" s="1" t="s">
        <v>82</v>
      </c>
      <c r="B49" s="17" t="s">
        <v>83</v>
      </c>
      <c r="C49" s="18"/>
      <c r="D49" s="18"/>
      <c r="F49" s="3">
        <v>38173.620000000003</v>
      </c>
    </row>
    <row r="50" spans="1:6" ht="14.25" customHeight="1" x14ac:dyDescent="0.25">
      <c r="A50" s="1" t="s">
        <v>84</v>
      </c>
      <c r="B50" s="17" t="s">
        <v>85</v>
      </c>
      <c r="C50" s="18"/>
      <c r="D50" s="18"/>
      <c r="F50" s="3">
        <v>1412.57</v>
      </c>
    </row>
    <row r="51" spans="1:6" ht="14.25" customHeight="1" x14ac:dyDescent="0.25">
      <c r="A51" s="1" t="s">
        <v>86</v>
      </c>
      <c r="B51" s="17" t="s">
        <v>87</v>
      </c>
      <c r="C51" s="18"/>
      <c r="D51" s="18"/>
      <c r="F51" s="3">
        <v>23890.560000000001</v>
      </c>
    </row>
    <row r="52" spans="1:6" ht="14.25" customHeight="1" x14ac:dyDescent="0.25">
      <c r="A52" s="1" t="s">
        <v>88</v>
      </c>
      <c r="B52" s="17" t="s">
        <v>89</v>
      </c>
      <c r="C52" s="18"/>
      <c r="D52" s="18"/>
      <c r="F52" s="3">
        <v>1851.02</v>
      </c>
    </row>
    <row r="53" spans="1:6" ht="14.25" customHeight="1" x14ac:dyDescent="0.25">
      <c r="B53" s="21" t="s">
        <v>90</v>
      </c>
      <c r="C53" s="22"/>
      <c r="D53" s="23">
        <v>65327.77</v>
      </c>
      <c r="E53" s="20"/>
      <c r="F53" s="20"/>
    </row>
    <row r="54" spans="1:6" ht="8.4" customHeight="1" x14ac:dyDescent="0.25"/>
    <row r="55" spans="1:6" ht="14.25" customHeight="1" x14ac:dyDescent="0.25">
      <c r="A55" s="1" t="s">
        <v>94</v>
      </c>
      <c r="B55" s="17" t="s">
        <v>95</v>
      </c>
      <c r="C55" s="18"/>
      <c r="D55" s="18"/>
      <c r="F55" s="3">
        <v>2131.4899999999998</v>
      </c>
    </row>
    <row r="56" spans="1:6" ht="14.25" customHeight="1" x14ac:dyDescent="0.25">
      <c r="A56" s="1" t="s">
        <v>96</v>
      </c>
      <c r="B56" s="17" t="s">
        <v>97</v>
      </c>
      <c r="C56" s="18"/>
      <c r="D56" s="18"/>
      <c r="F56" s="3">
        <v>22600</v>
      </c>
    </row>
    <row r="57" spans="1:6" ht="7.5" customHeight="1" x14ac:dyDescent="0.25"/>
    <row r="58" spans="1:6" ht="14.25" customHeight="1" x14ac:dyDescent="0.25">
      <c r="B58" s="21" t="s">
        <v>98</v>
      </c>
      <c r="C58" s="22"/>
      <c r="D58" s="23">
        <v>24731.49</v>
      </c>
      <c r="E58" s="20"/>
      <c r="F58" s="20"/>
    </row>
    <row r="59" spans="1:6" ht="8.4" customHeight="1" x14ac:dyDescent="0.25"/>
    <row r="60" spans="1:6" ht="14.25" customHeight="1" x14ac:dyDescent="0.25">
      <c r="A60" s="1" t="s">
        <v>99</v>
      </c>
      <c r="B60" s="17" t="s">
        <v>100</v>
      </c>
      <c r="C60" s="18"/>
      <c r="D60" s="18"/>
      <c r="F60" s="3">
        <v>80790.69</v>
      </c>
    </row>
    <row r="61" spans="1:6" ht="17.25" customHeight="1" x14ac:dyDescent="0.25">
      <c r="B61" s="21" t="s">
        <v>101</v>
      </c>
      <c r="C61" s="22"/>
      <c r="D61" s="23">
        <v>80790.69</v>
      </c>
      <c r="E61" s="20"/>
      <c r="F61" s="20"/>
    </row>
    <row r="62" spans="1:6" ht="14.25" customHeight="1" x14ac:dyDescent="0.25">
      <c r="A62" s="21" t="s">
        <v>102</v>
      </c>
      <c r="B62" s="22"/>
      <c r="C62" s="22"/>
      <c r="D62" s="24">
        <v>780688.51</v>
      </c>
      <c r="E62" s="20"/>
      <c r="F62" s="20"/>
    </row>
    <row r="63" spans="1:6" ht="11.4" customHeight="1" x14ac:dyDescent="0.25"/>
    <row r="64" spans="1:6" ht="11.4" customHeight="1" x14ac:dyDescent="0.25">
      <c r="C64" s="19" t="s">
        <v>124</v>
      </c>
      <c r="D64" s="20"/>
      <c r="E64" s="20"/>
      <c r="F64" s="20"/>
    </row>
    <row r="65" ht="14.25" customHeight="1" x14ac:dyDescent="0.25"/>
  </sheetData>
  <mergeCells count="64">
    <mergeCell ref="B60:D60"/>
    <mergeCell ref="B61:C61"/>
    <mergeCell ref="D61:F61"/>
    <mergeCell ref="A62:C62"/>
    <mergeCell ref="C64:F64"/>
    <mergeCell ref="D62:F62"/>
    <mergeCell ref="B55:D55"/>
    <mergeCell ref="B56:D56"/>
    <mergeCell ref="B58:C58"/>
    <mergeCell ref="D58:F58"/>
    <mergeCell ref="B49:D49"/>
    <mergeCell ref="B50:D50"/>
    <mergeCell ref="B51:D51"/>
    <mergeCell ref="B52:D52"/>
    <mergeCell ref="B53:C53"/>
    <mergeCell ref="D53:F53"/>
    <mergeCell ref="B43:D43"/>
    <mergeCell ref="B44:D44"/>
    <mergeCell ref="B45:D45"/>
    <mergeCell ref="B46:D46"/>
    <mergeCell ref="B47:C47"/>
    <mergeCell ref="D47:F47"/>
    <mergeCell ref="B42:D42"/>
    <mergeCell ref="B31:D31"/>
    <mergeCell ref="B32:D32"/>
    <mergeCell ref="B36:D36"/>
    <mergeCell ref="B33:C33"/>
    <mergeCell ref="D33:F33"/>
    <mergeCell ref="B35:D35"/>
    <mergeCell ref="B37:D37"/>
    <mergeCell ref="B38:D38"/>
    <mergeCell ref="B39:D39"/>
    <mergeCell ref="B40:D40"/>
    <mergeCell ref="B41:D41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5:D15"/>
    <mergeCell ref="B16:D16"/>
    <mergeCell ref="B17:D17"/>
    <mergeCell ref="B18:D18"/>
    <mergeCell ref="B14:D14"/>
    <mergeCell ref="B12:C12"/>
    <mergeCell ref="D12:F12"/>
    <mergeCell ref="B1:D1"/>
    <mergeCell ref="B2:D2"/>
    <mergeCell ref="B3:D3"/>
    <mergeCell ref="B4:D4"/>
    <mergeCell ref="B5:C5"/>
    <mergeCell ref="D5:F5"/>
    <mergeCell ref="B7:D7"/>
    <mergeCell ref="B8:D8"/>
    <mergeCell ref="B9:D9"/>
    <mergeCell ref="B10:D10"/>
    <mergeCell ref="B11:D11"/>
  </mergeCells>
  <phoneticPr fontId="0" type="noConversion"/>
  <pageMargins left="0.78740157499999996" right="0.78740157499999996" top="0.984251969" bottom="0.984251969" header="0.49212598499999999" footer="0.49212598499999999"/>
  <pageSetup paperSize="9" scale="88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sqref="A1:IV65536"/>
    </sheetView>
  </sheetViews>
  <sheetFormatPr defaultColWidth="9.109375" defaultRowHeight="13.2" x14ac:dyDescent="0.25"/>
  <cols>
    <col min="1" max="1" width="9.6640625" style="2" customWidth="1"/>
    <col min="2" max="2" width="48.44140625" style="2" customWidth="1"/>
    <col min="3" max="3" width="12.5546875" style="2" customWidth="1"/>
    <col min="4" max="4" width="3.109375" style="2" customWidth="1"/>
    <col min="5" max="5" width="2.5546875" style="2" customWidth="1"/>
    <col min="6" max="6" width="17.6640625" style="2" customWidth="1"/>
    <col min="7" max="16384" width="9.109375" style="2"/>
  </cols>
  <sheetData>
    <row r="1" spans="1:6" ht="14.25" customHeight="1" x14ac:dyDescent="0.25">
      <c r="A1" s="1" t="s">
        <v>0</v>
      </c>
      <c r="B1" s="17" t="s">
        <v>1</v>
      </c>
      <c r="C1" s="18"/>
      <c r="D1" s="18"/>
      <c r="F1" s="3">
        <v>459074.33</v>
      </c>
    </row>
    <row r="2" spans="1:6" ht="14.25" customHeight="1" x14ac:dyDescent="0.25">
      <c r="A2" s="1" t="s">
        <v>2</v>
      </c>
      <c r="B2" s="17" t="s">
        <v>3</v>
      </c>
      <c r="C2" s="18"/>
      <c r="D2" s="18"/>
      <c r="F2" s="3">
        <v>14599.65</v>
      </c>
    </row>
    <row r="3" spans="1:6" ht="14.25" customHeight="1" x14ac:dyDescent="0.25">
      <c r="A3" s="1" t="s">
        <v>4</v>
      </c>
      <c r="B3" s="17" t="s">
        <v>5</v>
      </c>
      <c r="C3" s="18"/>
      <c r="D3" s="18"/>
      <c r="F3" s="3">
        <v>9946.48</v>
      </c>
    </row>
    <row r="4" spans="1:6" ht="14.25" customHeight="1" x14ac:dyDescent="0.25">
      <c r="A4" s="1" t="s">
        <v>6</v>
      </c>
      <c r="B4" s="17" t="s">
        <v>7</v>
      </c>
      <c r="C4" s="18"/>
      <c r="D4" s="18"/>
      <c r="F4" s="3">
        <v>72441.3</v>
      </c>
    </row>
    <row r="5" spans="1:6" ht="14.25" customHeight="1" x14ac:dyDescent="0.25">
      <c r="B5" s="21" t="s">
        <v>8</v>
      </c>
      <c r="C5" s="22"/>
      <c r="D5" s="23">
        <v>556061.76</v>
      </c>
      <c r="E5" s="20"/>
      <c r="F5" s="20"/>
    </row>
    <row r="6" spans="1:6" ht="8.4" customHeight="1" x14ac:dyDescent="0.25"/>
    <row r="7" spans="1:6" ht="14.25" customHeight="1" x14ac:dyDescent="0.25">
      <c r="A7" s="1" t="s">
        <v>9</v>
      </c>
      <c r="B7" s="17" t="s">
        <v>10</v>
      </c>
      <c r="C7" s="18"/>
      <c r="D7" s="18"/>
      <c r="F7" s="3">
        <v>18614.240000000002</v>
      </c>
    </row>
    <row r="8" spans="1:6" ht="14.25" customHeight="1" x14ac:dyDescent="0.25">
      <c r="A8" s="1" t="s">
        <v>11</v>
      </c>
      <c r="B8" s="17" t="s">
        <v>12</v>
      </c>
      <c r="C8" s="18"/>
      <c r="D8" s="18"/>
      <c r="F8" s="3">
        <v>16096.11</v>
      </c>
    </row>
    <row r="9" spans="1:6" ht="14.25" customHeight="1" x14ac:dyDescent="0.25">
      <c r="A9" s="1" t="s">
        <v>13</v>
      </c>
      <c r="B9" s="17" t="s">
        <v>14</v>
      </c>
      <c r="C9" s="18"/>
      <c r="D9" s="18"/>
      <c r="F9" s="3">
        <v>2799.98</v>
      </c>
    </row>
    <row r="10" spans="1:6" ht="14.25" customHeight="1" x14ac:dyDescent="0.25">
      <c r="A10" s="1" t="s">
        <v>111</v>
      </c>
      <c r="B10" s="17" t="s">
        <v>112</v>
      </c>
      <c r="C10" s="18"/>
      <c r="D10" s="18"/>
      <c r="F10" s="3">
        <v>953.61</v>
      </c>
    </row>
    <row r="11" spans="1:6" ht="14.25" customHeight="1" x14ac:dyDescent="0.25">
      <c r="A11" s="1" t="s">
        <v>125</v>
      </c>
      <c r="B11" s="17" t="s">
        <v>126</v>
      </c>
      <c r="C11" s="18"/>
      <c r="D11" s="18"/>
      <c r="F11" s="3">
        <v>461.2</v>
      </c>
    </row>
    <row r="12" spans="1:6" ht="14.25" customHeight="1" x14ac:dyDescent="0.25">
      <c r="A12" s="1" t="s">
        <v>127</v>
      </c>
      <c r="B12" s="17" t="s">
        <v>128</v>
      </c>
      <c r="C12" s="18"/>
      <c r="D12" s="18"/>
      <c r="F12" s="3">
        <v>1116.23</v>
      </c>
    </row>
    <row r="13" spans="1:6" ht="14.25" customHeight="1" x14ac:dyDescent="0.25">
      <c r="A13" s="1" t="s">
        <v>15</v>
      </c>
      <c r="B13" s="17" t="s">
        <v>16</v>
      </c>
      <c r="C13" s="18"/>
      <c r="D13" s="18"/>
      <c r="F13" s="3">
        <v>2319.54</v>
      </c>
    </row>
    <row r="14" spans="1:6" ht="14.25" customHeight="1" x14ac:dyDescent="0.25">
      <c r="A14" s="1" t="s">
        <v>129</v>
      </c>
      <c r="B14" s="17" t="s">
        <v>130</v>
      </c>
      <c r="C14" s="18"/>
      <c r="D14" s="18"/>
      <c r="F14" s="3">
        <v>2496.42</v>
      </c>
    </row>
    <row r="15" spans="1:6" ht="14.25" customHeight="1" x14ac:dyDescent="0.25">
      <c r="A15" s="1" t="s">
        <v>131</v>
      </c>
      <c r="B15" s="17" t="s">
        <v>132</v>
      </c>
      <c r="C15" s="18"/>
      <c r="D15" s="18"/>
      <c r="F15" s="3">
        <v>3</v>
      </c>
    </row>
    <row r="16" spans="1:6" ht="14.25" customHeight="1" x14ac:dyDescent="0.25">
      <c r="A16" s="1" t="s">
        <v>133</v>
      </c>
      <c r="B16" s="17" t="s">
        <v>134</v>
      </c>
      <c r="C16" s="18"/>
      <c r="D16" s="18"/>
      <c r="F16" s="3">
        <v>279.98</v>
      </c>
    </row>
    <row r="17" spans="1:6" ht="14.25" customHeight="1" x14ac:dyDescent="0.25">
      <c r="A17" s="1" t="s">
        <v>19</v>
      </c>
      <c r="B17" s="17" t="s">
        <v>20</v>
      </c>
      <c r="C17" s="18"/>
      <c r="D17" s="18"/>
      <c r="F17" s="3">
        <v>11000</v>
      </c>
    </row>
    <row r="18" spans="1:6" ht="14.25" customHeight="1" x14ac:dyDescent="0.25">
      <c r="B18" s="21" t="s">
        <v>21</v>
      </c>
      <c r="C18" s="22"/>
      <c r="D18" s="23">
        <v>56140.31</v>
      </c>
      <c r="E18" s="20"/>
      <c r="F18" s="20"/>
    </row>
    <row r="19" spans="1:6" ht="8.4" customHeight="1" x14ac:dyDescent="0.25"/>
    <row r="20" spans="1:6" ht="14.25" customHeight="1" x14ac:dyDescent="0.25">
      <c r="A20" s="1" t="s">
        <v>22</v>
      </c>
      <c r="B20" s="17" t="s">
        <v>23</v>
      </c>
      <c r="C20" s="18"/>
      <c r="D20" s="18"/>
      <c r="F20" s="3">
        <v>2603.7199999999998</v>
      </c>
    </row>
    <row r="21" spans="1:6" ht="14.25" customHeight="1" x14ac:dyDescent="0.25">
      <c r="A21" s="1" t="s">
        <v>24</v>
      </c>
      <c r="B21" s="17" t="s">
        <v>25</v>
      </c>
      <c r="C21" s="18"/>
      <c r="D21" s="18"/>
      <c r="F21" s="3">
        <v>175.5</v>
      </c>
    </row>
    <row r="22" spans="1:6" ht="14.25" customHeight="1" x14ac:dyDescent="0.25">
      <c r="A22" s="1" t="s">
        <v>26</v>
      </c>
      <c r="B22" s="17" t="s">
        <v>27</v>
      </c>
      <c r="C22" s="18"/>
      <c r="D22" s="18"/>
      <c r="F22" s="3">
        <v>6359.71</v>
      </c>
    </row>
    <row r="23" spans="1:6" ht="14.25" customHeight="1" x14ac:dyDescent="0.25">
      <c r="A23" s="1" t="s">
        <v>28</v>
      </c>
      <c r="B23" s="17" t="s">
        <v>29</v>
      </c>
      <c r="C23" s="18"/>
      <c r="D23" s="18"/>
      <c r="F23" s="3">
        <v>610.65</v>
      </c>
    </row>
    <row r="24" spans="1:6" ht="14.25" customHeight="1" x14ac:dyDescent="0.25">
      <c r="A24" s="1" t="s">
        <v>30</v>
      </c>
      <c r="B24" s="17" t="s">
        <v>31</v>
      </c>
      <c r="C24" s="18"/>
      <c r="D24" s="18"/>
      <c r="F24" s="3">
        <v>102</v>
      </c>
    </row>
    <row r="25" spans="1:6" ht="14.25" customHeight="1" x14ac:dyDescent="0.25">
      <c r="A25" s="1" t="s">
        <v>32</v>
      </c>
      <c r="B25" s="17" t="s">
        <v>33</v>
      </c>
      <c r="C25" s="18"/>
      <c r="D25" s="18"/>
      <c r="F25" s="3">
        <v>624.30999999999995</v>
      </c>
    </row>
    <row r="26" spans="1:6" ht="14.25" customHeight="1" x14ac:dyDescent="0.25">
      <c r="A26" s="1" t="s">
        <v>135</v>
      </c>
      <c r="B26" s="17" t="s">
        <v>136</v>
      </c>
      <c r="C26" s="18"/>
      <c r="D26" s="18"/>
      <c r="F26" s="3">
        <v>272.8</v>
      </c>
    </row>
    <row r="27" spans="1:6" ht="14.25" customHeight="1" x14ac:dyDescent="0.25">
      <c r="A27" s="1" t="s">
        <v>34</v>
      </c>
      <c r="B27" s="17" t="s">
        <v>35</v>
      </c>
      <c r="C27" s="18"/>
      <c r="D27" s="18"/>
      <c r="F27" s="3">
        <v>153.47999999999999</v>
      </c>
    </row>
    <row r="28" spans="1:6" ht="14.25" customHeight="1" x14ac:dyDescent="0.25">
      <c r="A28" s="1" t="s">
        <v>36</v>
      </c>
      <c r="B28" s="17" t="s">
        <v>37</v>
      </c>
      <c r="C28" s="18"/>
      <c r="D28" s="18"/>
      <c r="F28" s="3">
        <v>4208</v>
      </c>
    </row>
    <row r="29" spans="1:6" ht="14.25" customHeight="1" x14ac:dyDescent="0.25">
      <c r="A29" s="1" t="s">
        <v>38</v>
      </c>
      <c r="B29" s="17" t="s">
        <v>39</v>
      </c>
      <c r="C29" s="18"/>
      <c r="D29" s="18"/>
      <c r="F29" s="3">
        <v>2411.4</v>
      </c>
    </row>
    <row r="30" spans="1:6" ht="14.25" customHeight="1" x14ac:dyDescent="0.25">
      <c r="A30" s="1" t="s">
        <v>40</v>
      </c>
      <c r="B30" s="17" t="s">
        <v>41</v>
      </c>
      <c r="C30" s="18"/>
      <c r="D30" s="18"/>
      <c r="F30" s="3">
        <v>240.65</v>
      </c>
    </row>
    <row r="31" spans="1:6" ht="14.25" customHeight="1" x14ac:dyDescent="0.25">
      <c r="A31" s="1" t="s">
        <v>120</v>
      </c>
      <c r="B31" s="17" t="s">
        <v>121</v>
      </c>
      <c r="C31" s="18"/>
      <c r="D31" s="18"/>
      <c r="F31" s="3">
        <v>826.5</v>
      </c>
    </row>
    <row r="32" spans="1:6" ht="14.25" customHeight="1" x14ac:dyDescent="0.25">
      <c r="A32" s="1" t="s">
        <v>137</v>
      </c>
      <c r="B32" s="17" t="s">
        <v>138</v>
      </c>
      <c r="C32" s="18"/>
      <c r="D32" s="18"/>
      <c r="F32" s="3">
        <v>110</v>
      </c>
    </row>
    <row r="33" spans="1:6" ht="14.25" customHeight="1" x14ac:dyDescent="0.25">
      <c r="A33" s="1" t="s">
        <v>44</v>
      </c>
      <c r="B33" s="17" t="s">
        <v>45</v>
      </c>
      <c r="C33" s="18"/>
      <c r="D33" s="18"/>
      <c r="F33" s="3">
        <v>45948</v>
      </c>
    </row>
    <row r="34" spans="1:6" ht="14.25" customHeight="1" x14ac:dyDescent="0.25">
      <c r="A34" s="1" t="s">
        <v>139</v>
      </c>
      <c r="B34" s="17" t="s">
        <v>140</v>
      </c>
      <c r="C34" s="18"/>
      <c r="D34" s="18"/>
      <c r="F34" s="3">
        <v>45</v>
      </c>
    </row>
    <row r="35" spans="1:6" ht="14.25" customHeight="1" x14ac:dyDescent="0.25">
      <c r="A35" s="1" t="s">
        <v>141</v>
      </c>
      <c r="B35" s="17" t="s">
        <v>142</v>
      </c>
      <c r="C35" s="18"/>
      <c r="D35" s="18"/>
      <c r="F35" s="3">
        <v>70.569999999999993</v>
      </c>
    </row>
    <row r="36" spans="1:6" ht="14.25" customHeight="1" x14ac:dyDescent="0.25">
      <c r="A36" s="1" t="s">
        <v>46</v>
      </c>
      <c r="B36" s="17" t="s">
        <v>47</v>
      </c>
      <c r="C36" s="18"/>
      <c r="D36" s="18"/>
      <c r="F36" s="3">
        <v>1364.39</v>
      </c>
    </row>
    <row r="37" spans="1:6" ht="14.25" customHeight="1" x14ac:dyDescent="0.25">
      <c r="A37" s="1" t="s">
        <v>143</v>
      </c>
      <c r="B37" s="17" t="s">
        <v>144</v>
      </c>
      <c r="C37" s="18"/>
      <c r="D37" s="18"/>
      <c r="F37" s="3">
        <v>902.72</v>
      </c>
    </row>
    <row r="38" spans="1:6" ht="14.25" customHeight="1" x14ac:dyDescent="0.25">
      <c r="A38" s="1" t="s">
        <v>48</v>
      </c>
      <c r="B38" s="17" t="s">
        <v>49</v>
      </c>
      <c r="C38" s="18"/>
      <c r="D38" s="18"/>
      <c r="F38" s="3">
        <v>3447</v>
      </c>
    </row>
    <row r="39" spans="1:6" ht="14.25" customHeight="1" x14ac:dyDescent="0.25">
      <c r="A39" s="1" t="s">
        <v>145</v>
      </c>
      <c r="B39" s="17" t="s">
        <v>146</v>
      </c>
      <c r="C39" s="18"/>
      <c r="D39" s="18"/>
      <c r="F39" s="3">
        <v>558.63</v>
      </c>
    </row>
    <row r="40" spans="1:6" ht="14.25" customHeight="1" x14ac:dyDescent="0.25">
      <c r="A40" s="1" t="s">
        <v>52</v>
      </c>
      <c r="B40" s="17" t="s">
        <v>53</v>
      </c>
      <c r="C40" s="18"/>
      <c r="D40" s="18"/>
      <c r="F40" s="3">
        <v>1047.9000000000001</v>
      </c>
    </row>
    <row r="41" spans="1:6" ht="14.25" customHeight="1" x14ac:dyDescent="0.25">
      <c r="A41" s="1" t="s">
        <v>54</v>
      </c>
      <c r="B41" s="17" t="s">
        <v>55</v>
      </c>
      <c r="C41" s="18"/>
      <c r="D41" s="18"/>
      <c r="F41" s="3">
        <v>4149.55</v>
      </c>
    </row>
    <row r="42" spans="1:6" ht="14.25" customHeight="1" x14ac:dyDescent="0.25">
      <c r="A42" s="1" t="s">
        <v>56</v>
      </c>
      <c r="B42" s="17" t="s">
        <v>57</v>
      </c>
      <c r="C42" s="18"/>
      <c r="D42" s="18"/>
      <c r="F42" s="3">
        <v>108.7</v>
      </c>
    </row>
    <row r="43" spans="1:6" ht="14.25" customHeight="1" x14ac:dyDescent="0.25">
      <c r="A43" s="1" t="s">
        <v>147</v>
      </c>
      <c r="B43" s="17" t="s">
        <v>148</v>
      </c>
      <c r="C43" s="18"/>
      <c r="D43" s="18"/>
      <c r="F43" s="3">
        <v>755</v>
      </c>
    </row>
    <row r="44" spans="1:6" ht="14.25" customHeight="1" x14ac:dyDescent="0.25">
      <c r="A44" s="1" t="s">
        <v>58</v>
      </c>
      <c r="B44" s="17" t="s">
        <v>59</v>
      </c>
      <c r="C44" s="18"/>
      <c r="D44" s="18"/>
      <c r="F44" s="3">
        <v>111</v>
      </c>
    </row>
    <row r="45" spans="1:6" ht="14.25" customHeight="1" x14ac:dyDescent="0.25">
      <c r="B45" s="21" t="s">
        <v>60</v>
      </c>
      <c r="C45" s="22"/>
      <c r="D45" s="23">
        <v>77207.179999999993</v>
      </c>
      <c r="E45" s="20"/>
      <c r="F45" s="20"/>
    </row>
    <row r="46" spans="1:6" ht="8.4" customHeight="1" x14ac:dyDescent="0.25"/>
    <row r="47" spans="1:6" ht="14.25" customHeight="1" x14ac:dyDescent="0.25">
      <c r="A47" s="1" t="s">
        <v>61</v>
      </c>
      <c r="B47" s="17" t="s">
        <v>62</v>
      </c>
      <c r="C47" s="18"/>
      <c r="D47" s="18"/>
      <c r="F47" s="3">
        <v>32756.05</v>
      </c>
    </row>
    <row r="48" spans="1:6" ht="14.25" customHeight="1" x14ac:dyDescent="0.25">
      <c r="A48" s="1" t="s">
        <v>63</v>
      </c>
      <c r="B48" s="17" t="s">
        <v>64</v>
      </c>
      <c r="C48" s="18"/>
      <c r="D48" s="18"/>
      <c r="F48" s="3">
        <v>22385.82</v>
      </c>
    </row>
    <row r="49" spans="1:6" ht="14.25" customHeight="1" x14ac:dyDescent="0.25">
      <c r="A49" s="1" t="s">
        <v>65</v>
      </c>
      <c r="B49" s="17" t="s">
        <v>66</v>
      </c>
      <c r="C49" s="18"/>
      <c r="D49" s="18"/>
      <c r="F49" s="3">
        <v>11285.23</v>
      </c>
    </row>
    <row r="50" spans="1:6" ht="14.25" customHeight="1" x14ac:dyDescent="0.25">
      <c r="A50" s="1" t="s">
        <v>67</v>
      </c>
      <c r="B50" s="17" t="s">
        <v>68</v>
      </c>
      <c r="C50" s="18"/>
      <c r="D50" s="18"/>
      <c r="F50" s="3">
        <v>4011.94</v>
      </c>
    </row>
    <row r="51" spans="1:6" ht="14.25" customHeight="1" x14ac:dyDescent="0.25">
      <c r="A51" s="1" t="s">
        <v>115</v>
      </c>
      <c r="B51" s="17" t="s">
        <v>116</v>
      </c>
      <c r="C51" s="18"/>
      <c r="D51" s="18"/>
      <c r="F51" s="3">
        <v>4707.07</v>
      </c>
    </row>
    <row r="52" spans="1:6" ht="14.25" customHeight="1" x14ac:dyDescent="0.25">
      <c r="A52" s="1" t="s">
        <v>69</v>
      </c>
      <c r="B52" s="17" t="s">
        <v>70</v>
      </c>
      <c r="C52" s="18"/>
      <c r="D52" s="18"/>
      <c r="F52" s="3">
        <v>1088.55</v>
      </c>
    </row>
    <row r="53" spans="1:6" ht="14.25" customHeight="1" x14ac:dyDescent="0.25">
      <c r="A53" s="1" t="s">
        <v>71</v>
      </c>
      <c r="B53" s="17" t="s">
        <v>72</v>
      </c>
      <c r="C53" s="18"/>
      <c r="D53" s="18"/>
      <c r="F53" s="3">
        <v>3212</v>
      </c>
    </row>
    <row r="54" spans="1:6" ht="14.25" customHeight="1" x14ac:dyDescent="0.25">
      <c r="A54" s="1" t="s">
        <v>73</v>
      </c>
      <c r="B54" s="17" t="s">
        <v>74</v>
      </c>
      <c r="C54" s="18"/>
      <c r="D54" s="18"/>
      <c r="F54" s="3">
        <v>1943.5</v>
      </c>
    </row>
    <row r="55" spans="1:6" ht="14.25" customHeight="1" x14ac:dyDescent="0.25">
      <c r="A55" s="1" t="s">
        <v>75</v>
      </c>
      <c r="B55" s="17" t="s">
        <v>76</v>
      </c>
      <c r="C55" s="18"/>
      <c r="D55" s="18"/>
      <c r="F55" s="3">
        <v>2281.63</v>
      </c>
    </row>
    <row r="56" spans="1:6" ht="7.5" customHeight="1" x14ac:dyDescent="0.25"/>
    <row r="57" spans="1:6" ht="14.25" customHeight="1" x14ac:dyDescent="0.25">
      <c r="A57" s="1" t="s">
        <v>77</v>
      </c>
      <c r="B57" s="17" t="s">
        <v>78</v>
      </c>
      <c r="C57" s="18"/>
      <c r="D57" s="18"/>
      <c r="F57" s="3">
        <v>204.16</v>
      </c>
    </row>
    <row r="58" spans="1:6" ht="14.25" customHeight="1" x14ac:dyDescent="0.25">
      <c r="A58" s="1" t="s">
        <v>149</v>
      </c>
      <c r="B58" s="17" t="s">
        <v>150</v>
      </c>
      <c r="C58" s="18"/>
      <c r="D58" s="18"/>
      <c r="F58" s="3">
        <v>1517.17</v>
      </c>
    </row>
    <row r="59" spans="1:6" ht="14.25" customHeight="1" x14ac:dyDescent="0.25">
      <c r="A59" s="1" t="s">
        <v>79</v>
      </c>
      <c r="B59" s="17" t="s">
        <v>80</v>
      </c>
      <c r="C59" s="18"/>
      <c r="D59" s="18"/>
      <c r="F59" s="3">
        <v>826.26</v>
      </c>
    </row>
    <row r="60" spans="1:6" ht="14.25" customHeight="1" x14ac:dyDescent="0.25">
      <c r="B60" s="21" t="s">
        <v>81</v>
      </c>
      <c r="C60" s="22"/>
      <c r="D60" s="23">
        <v>86219.38</v>
      </c>
      <c r="E60" s="20"/>
      <c r="F60" s="20"/>
    </row>
    <row r="61" spans="1:6" ht="8.4" customHeight="1" x14ac:dyDescent="0.25"/>
    <row r="62" spans="1:6" ht="14.25" customHeight="1" x14ac:dyDescent="0.25">
      <c r="A62" s="1" t="s">
        <v>82</v>
      </c>
      <c r="B62" s="17" t="s">
        <v>83</v>
      </c>
      <c r="C62" s="18"/>
      <c r="D62" s="18"/>
      <c r="F62" s="3">
        <v>47808.46</v>
      </c>
    </row>
    <row r="63" spans="1:6" ht="14.25" customHeight="1" x14ac:dyDescent="0.25">
      <c r="A63" s="1" t="s">
        <v>84</v>
      </c>
      <c r="B63" s="17" t="s">
        <v>85</v>
      </c>
      <c r="C63" s="18"/>
      <c r="D63" s="18"/>
      <c r="F63" s="3">
        <v>1534.77</v>
      </c>
    </row>
    <row r="64" spans="1:6" ht="14.25" customHeight="1" x14ac:dyDescent="0.25">
      <c r="A64" s="1" t="s">
        <v>86</v>
      </c>
      <c r="B64" s="17" t="s">
        <v>87</v>
      </c>
      <c r="C64" s="18"/>
      <c r="D64" s="18"/>
      <c r="F64" s="3">
        <v>23890.560000000001</v>
      </c>
    </row>
    <row r="65" spans="1:6" ht="14.25" customHeight="1" x14ac:dyDescent="0.25">
      <c r="A65" s="1" t="s">
        <v>88</v>
      </c>
      <c r="B65" s="17" t="s">
        <v>89</v>
      </c>
      <c r="C65" s="18"/>
      <c r="D65" s="18"/>
      <c r="F65" s="3">
        <v>1281.82</v>
      </c>
    </row>
    <row r="66" spans="1:6" ht="14.25" customHeight="1" x14ac:dyDescent="0.25">
      <c r="B66" s="21" t="s">
        <v>90</v>
      </c>
      <c r="C66" s="22"/>
      <c r="D66" s="23">
        <v>74515.61</v>
      </c>
      <c r="E66" s="20"/>
      <c r="F66" s="20"/>
    </row>
    <row r="67" spans="1:6" ht="8.4" customHeight="1" x14ac:dyDescent="0.25"/>
    <row r="68" spans="1:6" ht="14.25" customHeight="1" x14ac:dyDescent="0.25">
      <c r="A68" s="1" t="s">
        <v>151</v>
      </c>
      <c r="B68" s="17" t="s">
        <v>152</v>
      </c>
      <c r="C68" s="18"/>
      <c r="D68" s="18"/>
      <c r="F68" s="3">
        <v>156.94999999999999</v>
      </c>
    </row>
    <row r="69" spans="1:6" ht="14.25" customHeight="1" x14ac:dyDescent="0.25">
      <c r="B69" s="21" t="s">
        <v>93</v>
      </c>
      <c r="C69" s="22"/>
      <c r="D69" s="23">
        <v>156.94999999999999</v>
      </c>
      <c r="E69" s="20"/>
      <c r="F69" s="20"/>
    </row>
    <row r="70" spans="1:6" ht="8.4" customHeight="1" x14ac:dyDescent="0.25"/>
    <row r="71" spans="1:6" ht="14.25" customHeight="1" x14ac:dyDescent="0.25">
      <c r="A71" s="1" t="s">
        <v>94</v>
      </c>
      <c r="B71" s="17" t="s">
        <v>95</v>
      </c>
      <c r="C71" s="18"/>
      <c r="D71" s="18"/>
      <c r="F71" s="3">
        <v>2131.4899999999998</v>
      </c>
    </row>
    <row r="72" spans="1:6" ht="14.25" customHeight="1" x14ac:dyDescent="0.25">
      <c r="A72" s="1" t="s">
        <v>96</v>
      </c>
      <c r="B72" s="17" t="s">
        <v>97</v>
      </c>
      <c r="C72" s="18"/>
      <c r="D72" s="18"/>
      <c r="F72" s="3">
        <v>41861.5</v>
      </c>
    </row>
    <row r="73" spans="1:6" ht="14.25" customHeight="1" x14ac:dyDescent="0.25">
      <c r="A73" s="1" t="s">
        <v>153</v>
      </c>
      <c r="B73" s="17" t="s">
        <v>154</v>
      </c>
      <c r="C73" s="18"/>
      <c r="D73" s="18"/>
      <c r="F73" s="3">
        <v>150</v>
      </c>
    </row>
    <row r="74" spans="1:6" ht="14.25" customHeight="1" x14ac:dyDescent="0.25">
      <c r="B74" s="21" t="s">
        <v>98</v>
      </c>
      <c r="C74" s="22"/>
      <c r="D74" s="23">
        <v>44142.99</v>
      </c>
      <c r="E74" s="20"/>
      <c r="F74" s="20"/>
    </row>
    <row r="75" spans="1:6" ht="8.4" customHeight="1" x14ac:dyDescent="0.25"/>
    <row r="76" spans="1:6" ht="14.25" customHeight="1" x14ac:dyDescent="0.25">
      <c r="A76" s="1" t="s">
        <v>99</v>
      </c>
      <c r="B76" s="17" t="s">
        <v>100</v>
      </c>
      <c r="C76" s="18"/>
      <c r="D76" s="18"/>
      <c r="F76" s="3">
        <v>42332.81</v>
      </c>
    </row>
    <row r="77" spans="1:6" ht="17.25" customHeight="1" x14ac:dyDescent="0.25">
      <c r="B77" s="21" t="s">
        <v>101</v>
      </c>
      <c r="C77" s="22"/>
      <c r="D77" s="23">
        <v>42332.81</v>
      </c>
      <c r="E77" s="20"/>
      <c r="F77" s="20"/>
    </row>
    <row r="78" spans="1:6" ht="14.25" customHeight="1" x14ac:dyDescent="0.25">
      <c r="A78" s="21" t="s">
        <v>102</v>
      </c>
      <c r="B78" s="22"/>
      <c r="C78" s="22"/>
      <c r="D78" s="24">
        <v>936776.99</v>
      </c>
      <c r="E78" s="20"/>
      <c r="F78" s="20"/>
    </row>
    <row r="79" spans="1:6" ht="11.4" customHeight="1" x14ac:dyDescent="0.25"/>
    <row r="80" spans="1:6" ht="11.4" customHeight="1" x14ac:dyDescent="0.25">
      <c r="C80" s="19" t="s">
        <v>155</v>
      </c>
      <c r="D80" s="20"/>
      <c r="E80" s="20"/>
      <c r="F80" s="20"/>
    </row>
    <row r="81" ht="14.25" customHeight="1" x14ac:dyDescent="0.25"/>
  </sheetData>
  <mergeCells count="80">
    <mergeCell ref="A78:C78"/>
    <mergeCell ref="D78:F78"/>
    <mergeCell ref="C80:F80"/>
    <mergeCell ref="B72:D72"/>
    <mergeCell ref="B73:D73"/>
    <mergeCell ref="B74:C74"/>
    <mergeCell ref="D74:F74"/>
    <mergeCell ref="B76:D76"/>
    <mergeCell ref="B77:C77"/>
    <mergeCell ref="D77:F77"/>
    <mergeCell ref="B66:C66"/>
    <mergeCell ref="D66:F66"/>
    <mergeCell ref="B68:D68"/>
    <mergeCell ref="B69:C69"/>
    <mergeCell ref="D69:F69"/>
    <mergeCell ref="B71:D71"/>
    <mergeCell ref="D5:F5"/>
    <mergeCell ref="B13:D13"/>
    <mergeCell ref="B14:D14"/>
    <mergeCell ref="B18:C18"/>
    <mergeCell ref="D18:F18"/>
    <mergeCell ref="B34:D34"/>
    <mergeCell ref="B35:D35"/>
    <mergeCell ref="B45:C45"/>
    <mergeCell ref="D45:F45"/>
    <mergeCell ref="B47:D47"/>
    <mergeCell ref="B52:D52"/>
    <mergeCell ref="B53:D53"/>
    <mergeCell ref="B57:D57"/>
    <mergeCell ref="B58:D58"/>
    <mergeCell ref="B55:D55"/>
    <mergeCell ref="B48:D48"/>
    <mergeCell ref="B59:D59"/>
    <mergeCell ref="B49:D49"/>
    <mergeCell ref="B50:D50"/>
    <mergeCell ref="B51:D51"/>
    <mergeCell ref="B54:D54"/>
    <mergeCell ref="B31:D31"/>
    <mergeCell ref="B32:D32"/>
    <mergeCell ref="B33:D33"/>
    <mergeCell ref="B36:D36"/>
    <mergeCell ref="B63:D63"/>
    <mergeCell ref="B62:D62"/>
    <mergeCell ref="B37:D37"/>
    <mergeCell ref="B38:D38"/>
    <mergeCell ref="B39:D39"/>
    <mergeCell ref="B40:D40"/>
    <mergeCell ref="B41:D41"/>
    <mergeCell ref="B42:D42"/>
    <mergeCell ref="B60:C60"/>
    <mergeCell ref="D60:F60"/>
    <mergeCell ref="B43:D43"/>
    <mergeCell ref="B44:D44"/>
    <mergeCell ref="B30:D30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65:D65"/>
    <mergeCell ref="B1:D1"/>
    <mergeCell ref="B2:D2"/>
    <mergeCell ref="B3:D3"/>
    <mergeCell ref="B4:D4"/>
    <mergeCell ref="B5:C5"/>
    <mergeCell ref="B15:D15"/>
    <mergeCell ref="B16:D16"/>
    <mergeCell ref="B17:D17"/>
    <mergeCell ref="B64:D64"/>
    <mergeCell ref="B7:D7"/>
    <mergeCell ref="B8:D8"/>
    <mergeCell ref="B9:D9"/>
    <mergeCell ref="B10:D10"/>
    <mergeCell ref="B11:D11"/>
    <mergeCell ref="B12:D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sqref="A1:XFD1048576"/>
    </sheetView>
  </sheetViews>
  <sheetFormatPr defaultColWidth="9.109375" defaultRowHeight="13.2" x14ac:dyDescent="0.25"/>
  <cols>
    <col min="1" max="1" width="9.6640625" style="2" customWidth="1"/>
    <col min="2" max="2" width="48.44140625" style="2" customWidth="1"/>
    <col min="3" max="3" width="12.5546875" style="2" customWidth="1"/>
    <col min="4" max="4" width="3.109375" style="2" customWidth="1"/>
    <col min="5" max="5" width="2.5546875" style="2" customWidth="1"/>
    <col min="6" max="6" width="17.6640625" style="2" customWidth="1"/>
    <col min="7" max="256" width="9.109375" style="2"/>
    <col min="257" max="257" width="9.6640625" style="2" customWidth="1"/>
    <col min="258" max="258" width="48.44140625" style="2" customWidth="1"/>
    <col min="259" max="259" width="12.5546875" style="2" customWidth="1"/>
    <col min="260" max="260" width="3.109375" style="2" customWidth="1"/>
    <col min="261" max="261" width="2.5546875" style="2" customWidth="1"/>
    <col min="262" max="262" width="17.6640625" style="2" customWidth="1"/>
    <col min="263" max="512" width="9.109375" style="2"/>
    <col min="513" max="513" width="9.6640625" style="2" customWidth="1"/>
    <col min="514" max="514" width="48.44140625" style="2" customWidth="1"/>
    <col min="515" max="515" width="12.5546875" style="2" customWidth="1"/>
    <col min="516" max="516" width="3.109375" style="2" customWidth="1"/>
    <col min="517" max="517" width="2.5546875" style="2" customWidth="1"/>
    <col min="518" max="518" width="17.6640625" style="2" customWidth="1"/>
    <col min="519" max="768" width="9.109375" style="2"/>
    <col min="769" max="769" width="9.6640625" style="2" customWidth="1"/>
    <col min="770" max="770" width="48.44140625" style="2" customWidth="1"/>
    <col min="771" max="771" width="12.5546875" style="2" customWidth="1"/>
    <col min="772" max="772" width="3.109375" style="2" customWidth="1"/>
    <col min="773" max="773" width="2.5546875" style="2" customWidth="1"/>
    <col min="774" max="774" width="17.6640625" style="2" customWidth="1"/>
    <col min="775" max="1024" width="9.109375" style="2"/>
    <col min="1025" max="1025" width="9.6640625" style="2" customWidth="1"/>
    <col min="1026" max="1026" width="48.44140625" style="2" customWidth="1"/>
    <col min="1027" max="1027" width="12.5546875" style="2" customWidth="1"/>
    <col min="1028" max="1028" width="3.109375" style="2" customWidth="1"/>
    <col min="1029" max="1029" width="2.5546875" style="2" customWidth="1"/>
    <col min="1030" max="1030" width="17.6640625" style="2" customWidth="1"/>
    <col min="1031" max="1280" width="9.109375" style="2"/>
    <col min="1281" max="1281" width="9.6640625" style="2" customWidth="1"/>
    <col min="1282" max="1282" width="48.44140625" style="2" customWidth="1"/>
    <col min="1283" max="1283" width="12.5546875" style="2" customWidth="1"/>
    <col min="1284" max="1284" width="3.109375" style="2" customWidth="1"/>
    <col min="1285" max="1285" width="2.5546875" style="2" customWidth="1"/>
    <col min="1286" max="1286" width="17.6640625" style="2" customWidth="1"/>
    <col min="1287" max="1536" width="9.109375" style="2"/>
    <col min="1537" max="1537" width="9.6640625" style="2" customWidth="1"/>
    <col min="1538" max="1538" width="48.44140625" style="2" customWidth="1"/>
    <col min="1539" max="1539" width="12.5546875" style="2" customWidth="1"/>
    <col min="1540" max="1540" width="3.109375" style="2" customWidth="1"/>
    <col min="1541" max="1541" width="2.5546875" style="2" customWidth="1"/>
    <col min="1542" max="1542" width="17.6640625" style="2" customWidth="1"/>
    <col min="1543" max="1792" width="9.109375" style="2"/>
    <col min="1793" max="1793" width="9.6640625" style="2" customWidth="1"/>
    <col min="1794" max="1794" width="48.44140625" style="2" customWidth="1"/>
    <col min="1795" max="1795" width="12.5546875" style="2" customWidth="1"/>
    <col min="1796" max="1796" width="3.109375" style="2" customWidth="1"/>
    <col min="1797" max="1797" width="2.5546875" style="2" customWidth="1"/>
    <col min="1798" max="1798" width="17.6640625" style="2" customWidth="1"/>
    <col min="1799" max="2048" width="9.109375" style="2"/>
    <col min="2049" max="2049" width="9.6640625" style="2" customWidth="1"/>
    <col min="2050" max="2050" width="48.44140625" style="2" customWidth="1"/>
    <col min="2051" max="2051" width="12.5546875" style="2" customWidth="1"/>
    <col min="2052" max="2052" width="3.109375" style="2" customWidth="1"/>
    <col min="2053" max="2053" width="2.5546875" style="2" customWidth="1"/>
    <col min="2054" max="2054" width="17.6640625" style="2" customWidth="1"/>
    <col min="2055" max="2304" width="9.109375" style="2"/>
    <col min="2305" max="2305" width="9.6640625" style="2" customWidth="1"/>
    <col min="2306" max="2306" width="48.44140625" style="2" customWidth="1"/>
    <col min="2307" max="2307" width="12.5546875" style="2" customWidth="1"/>
    <col min="2308" max="2308" width="3.109375" style="2" customWidth="1"/>
    <col min="2309" max="2309" width="2.5546875" style="2" customWidth="1"/>
    <col min="2310" max="2310" width="17.6640625" style="2" customWidth="1"/>
    <col min="2311" max="2560" width="9.109375" style="2"/>
    <col min="2561" max="2561" width="9.6640625" style="2" customWidth="1"/>
    <col min="2562" max="2562" width="48.44140625" style="2" customWidth="1"/>
    <col min="2563" max="2563" width="12.5546875" style="2" customWidth="1"/>
    <col min="2564" max="2564" width="3.109375" style="2" customWidth="1"/>
    <col min="2565" max="2565" width="2.5546875" style="2" customWidth="1"/>
    <col min="2566" max="2566" width="17.6640625" style="2" customWidth="1"/>
    <col min="2567" max="2816" width="9.109375" style="2"/>
    <col min="2817" max="2817" width="9.6640625" style="2" customWidth="1"/>
    <col min="2818" max="2818" width="48.44140625" style="2" customWidth="1"/>
    <col min="2819" max="2819" width="12.5546875" style="2" customWidth="1"/>
    <col min="2820" max="2820" width="3.109375" style="2" customWidth="1"/>
    <col min="2821" max="2821" width="2.5546875" style="2" customWidth="1"/>
    <col min="2822" max="2822" width="17.6640625" style="2" customWidth="1"/>
    <col min="2823" max="3072" width="9.109375" style="2"/>
    <col min="3073" max="3073" width="9.6640625" style="2" customWidth="1"/>
    <col min="3074" max="3074" width="48.44140625" style="2" customWidth="1"/>
    <col min="3075" max="3075" width="12.5546875" style="2" customWidth="1"/>
    <col min="3076" max="3076" width="3.109375" style="2" customWidth="1"/>
    <col min="3077" max="3077" width="2.5546875" style="2" customWidth="1"/>
    <col min="3078" max="3078" width="17.6640625" style="2" customWidth="1"/>
    <col min="3079" max="3328" width="9.109375" style="2"/>
    <col min="3329" max="3329" width="9.6640625" style="2" customWidth="1"/>
    <col min="3330" max="3330" width="48.44140625" style="2" customWidth="1"/>
    <col min="3331" max="3331" width="12.5546875" style="2" customWidth="1"/>
    <col min="3332" max="3332" width="3.109375" style="2" customWidth="1"/>
    <col min="3333" max="3333" width="2.5546875" style="2" customWidth="1"/>
    <col min="3334" max="3334" width="17.6640625" style="2" customWidth="1"/>
    <col min="3335" max="3584" width="9.109375" style="2"/>
    <col min="3585" max="3585" width="9.6640625" style="2" customWidth="1"/>
    <col min="3586" max="3586" width="48.44140625" style="2" customWidth="1"/>
    <col min="3587" max="3587" width="12.5546875" style="2" customWidth="1"/>
    <col min="3588" max="3588" width="3.109375" style="2" customWidth="1"/>
    <col min="3589" max="3589" width="2.5546875" style="2" customWidth="1"/>
    <col min="3590" max="3590" width="17.6640625" style="2" customWidth="1"/>
    <col min="3591" max="3840" width="9.109375" style="2"/>
    <col min="3841" max="3841" width="9.6640625" style="2" customWidth="1"/>
    <col min="3842" max="3842" width="48.44140625" style="2" customWidth="1"/>
    <col min="3843" max="3843" width="12.5546875" style="2" customWidth="1"/>
    <col min="3844" max="3844" width="3.109375" style="2" customWidth="1"/>
    <col min="3845" max="3845" width="2.5546875" style="2" customWidth="1"/>
    <col min="3846" max="3846" width="17.6640625" style="2" customWidth="1"/>
    <col min="3847" max="4096" width="9.109375" style="2"/>
    <col min="4097" max="4097" width="9.6640625" style="2" customWidth="1"/>
    <col min="4098" max="4098" width="48.44140625" style="2" customWidth="1"/>
    <col min="4099" max="4099" width="12.5546875" style="2" customWidth="1"/>
    <col min="4100" max="4100" width="3.109375" style="2" customWidth="1"/>
    <col min="4101" max="4101" width="2.5546875" style="2" customWidth="1"/>
    <col min="4102" max="4102" width="17.6640625" style="2" customWidth="1"/>
    <col min="4103" max="4352" width="9.109375" style="2"/>
    <col min="4353" max="4353" width="9.6640625" style="2" customWidth="1"/>
    <col min="4354" max="4354" width="48.44140625" style="2" customWidth="1"/>
    <col min="4355" max="4355" width="12.5546875" style="2" customWidth="1"/>
    <col min="4356" max="4356" width="3.109375" style="2" customWidth="1"/>
    <col min="4357" max="4357" width="2.5546875" style="2" customWidth="1"/>
    <col min="4358" max="4358" width="17.6640625" style="2" customWidth="1"/>
    <col min="4359" max="4608" width="9.109375" style="2"/>
    <col min="4609" max="4609" width="9.6640625" style="2" customWidth="1"/>
    <col min="4610" max="4610" width="48.44140625" style="2" customWidth="1"/>
    <col min="4611" max="4611" width="12.5546875" style="2" customWidth="1"/>
    <col min="4612" max="4612" width="3.109375" style="2" customWidth="1"/>
    <col min="4613" max="4613" width="2.5546875" style="2" customWidth="1"/>
    <col min="4614" max="4614" width="17.6640625" style="2" customWidth="1"/>
    <col min="4615" max="4864" width="9.109375" style="2"/>
    <col min="4865" max="4865" width="9.6640625" style="2" customWidth="1"/>
    <col min="4866" max="4866" width="48.44140625" style="2" customWidth="1"/>
    <col min="4867" max="4867" width="12.5546875" style="2" customWidth="1"/>
    <col min="4868" max="4868" width="3.109375" style="2" customWidth="1"/>
    <col min="4869" max="4869" width="2.5546875" style="2" customWidth="1"/>
    <col min="4870" max="4870" width="17.6640625" style="2" customWidth="1"/>
    <col min="4871" max="5120" width="9.109375" style="2"/>
    <col min="5121" max="5121" width="9.6640625" style="2" customWidth="1"/>
    <col min="5122" max="5122" width="48.44140625" style="2" customWidth="1"/>
    <col min="5123" max="5123" width="12.5546875" style="2" customWidth="1"/>
    <col min="5124" max="5124" width="3.109375" style="2" customWidth="1"/>
    <col min="5125" max="5125" width="2.5546875" style="2" customWidth="1"/>
    <col min="5126" max="5126" width="17.6640625" style="2" customWidth="1"/>
    <col min="5127" max="5376" width="9.109375" style="2"/>
    <col min="5377" max="5377" width="9.6640625" style="2" customWidth="1"/>
    <col min="5378" max="5378" width="48.44140625" style="2" customWidth="1"/>
    <col min="5379" max="5379" width="12.5546875" style="2" customWidth="1"/>
    <col min="5380" max="5380" width="3.109375" style="2" customWidth="1"/>
    <col min="5381" max="5381" width="2.5546875" style="2" customWidth="1"/>
    <col min="5382" max="5382" width="17.6640625" style="2" customWidth="1"/>
    <col min="5383" max="5632" width="9.109375" style="2"/>
    <col min="5633" max="5633" width="9.6640625" style="2" customWidth="1"/>
    <col min="5634" max="5634" width="48.44140625" style="2" customWidth="1"/>
    <col min="5635" max="5635" width="12.5546875" style="2" customWidth="1"/>
    <col min="5636" max="5636" width="3.109375" style="2" customWidth="1"/>
    <col min="5637" max="5637" width="2.5546875" style="2" customWidth="1"/>
    <col min="5638" max="5638" width="17.6640625" style="2" customWidth="1"/>
    <col min="5639" max="5888" width="9.109375" style="2"/>
    <col min="5889" max="5889" width="9.6640625" style="2" customWidth="1"/>
    <col min="5890" max="5890" width="48.44140625" style="2" customWidth="1"/>
    <col min="5891" max="5891" width="12.5546875" style="2" customWidth="1"/>
    <col min="5892" max="5892" width="3.109375" style="2" customWidth="1"/>
    <col min="5893" max="5893" width="2.5546875" style="2" customWidth="1"/>
    <col min="5894" max="5894" width="17.6640625" style="2" customWidth="1"/>
    <col min="5895" max="6144" width="9.109375" style="2"/>
    <col min="6145" max="6145" width="9.6640625" style="2" customWidth="1"/>
    <col min="6146" max="6146" width="48.44140625" style="2" customWidth="1"/>
    <col min="6147" max="6147" width="12.5546875" style="2" customWidth="1"/>
    <col min="6148" max="6148" width="3.109375" style="2" customWidth="1"/>
    <col min="6149" max="6149" width="2.5546875" style="2" customWidth="1"/>
    <col min="6150" max="6150" width="17.6640625" style="2" customWidth="1"/>
    <col min="6151" max="6400" width="9.109375" style="2"/>
    <col min="6401" max="6401" width="9.6640625" style="2" customWidth="1"/>
    <col min="6402" max="6402" width="48.44140625" style="2" customWidth="1"/>
    <col min="6403" max="6403" width="12.5546875" style="2" customWidth="1"/>
    <col min="6404" max="6404" width="3.109375" style="2" customWidth="1"/>
    <col min="6405" max="6405" width="2.5546875" style="2" customWidth="1"/>
    <col min="6406" max="6406" width="17.6640625" style="2" customWidth="1"/>
    <col min="6407" max="6656" width="9.109375" style="2"/>
    <col min="6657" max="6657" width="9.6640625" style="2" customWidth="1"/>
    <col min="6658" max="6658" width="48.44140625" style="2" customWidth="1"/>
    <col min="6659" max="6659" width="12.5546875" style="2" customWidth="1"/>
    <col min="6660" max="6660" width="3.109375" style="2" customWidth="1"/>
    <col min="6661" max="6661" width="2.5546875" style="2" customWidth="1"/>
    <col min="6662" max="6662" width="17.6640625" style="2" customWidth="1"/>
    <col min="6663" max="6912" width="9.109375" style="2"/>
    <col min="6913" max="6913" width="9.6640625" style="2" customWidth="1"/>
    <col min="6914" max="6914" width="48.44140625" style="2" customWidth="1"/>
    <col min="6915" max="6915" width="12.5546875" style="2" customWidth="1"/>
    <col min="6916" max="6916" width="3.109375" style="2" customWidth="1"/>
    <col min="6917" max="6917" width="2.5546875" style="2" customWidth="1"/>
    <col min="6918" max="6918" width="17.6640625" style="2" customWidth="1"/>
    <col min="6919" max="7168" width="9.109375" style="2"/>
    <col min="7169" max="7169" width="9.6640625" style="2" customWidth="1"/>
    <col min="7170" max="7170" width="48.44140625" style="2" customWidth="1"/>
    <col min="7171" max="7171" width="12.5546875" style="2" customWidth="1"/>
    <col min="7172" max="7172" width="3.109375" style="2" customWidth="1"/>
    <col min="7173" max="7173" width="2.5546875" style="2" customWidth="1"/>
    <col min="7174" max="7174" width="17.6640625" style="2" customWidth="1"/>
    <col min="7175" max="7424" width="9.109375" style="2"/>
    <col min="7425" max="7425" width="9.6640625" style="2" customWidth="1"/>
    <col min="7426" max="7426" width="48.44140625" style="2" customWidth="1"/>
    <col min="7427" max="7427" width="12.5546875" style="2" customWidth="1"/>
    <col min="7428" max="7428" width="3.109375" style="2" customWidth="1"/>
    <col min="7429" max="7429" width="2.5546875" style="2" customWidth="1"/>
    <col min="7430" max="7430" width="17.6640625" style="2" customWidth="1"/>
    <col min="7431" max="7680" width="9.109375" style="2"/>
    <col min="7681" max="7681" width="9.6640625" style="2" customWidth="1"/>
    <col min="7682" max="7682" width="48.44140625" style="2" customWidth="1"/>
    <col min="7683" max="7683" width="12.5546875" style="2" customWidth="1"/>
    <col min="7684" max="7684" width="3.109375" style="2" customWidth="1"/>
    <col min="7685" max="7685" width="2.5546875" style="2" customWidth="1"/>
    <col min="7686" max="7686" width="17.6640625" style="2" customWidth="1"/>
    <col min="7687" max="7936" width="9.109375" style="2"/>
    <col min="7937" max="7937" width="9.6640625" style="2" customWidth="1"/>
    <col min="7938" max="7938" width="48.44140625" style="2" customWidth="1"/>
    <col min="7939" max="7939" width="12.5546875" style="2" customWidth="1"/>
    <col min="7940" max="7940" width="3.109375" style="2" customWidth="1"/>
    <col min="7941" max="7941" width="2.5546875" style="2" customWidth="1"/>
    <col min="7942" max="7942" width="17.6640625" style="2" customWidth="1"/>
    <col min="7943" max="8192" width="9.109375" style="2"/>
    <col min="8193" max="8193" width="9.6640625" style="2" customWidth="1"/>
    <col min="8194" max="8194" width="48.44140625" style="2" customWidth="1"/>
    <col min="8195" max="8195" width="12.5546875" style="2" customWidth="1"/>
    <col min="8196" max="8196" width="3.109375" style="2" customWidth="1"/>
    <col min="8197" max="8197" width="2.5546875" style="2" customWidth="1"/>
    <col min="8198" max="8198" width="17.6640625" style="2" customWidth="1"/>
    <col min="8199" max="8448" width="9.109375" style="2"/>
    <col min="8449" max="8449" width="9.6640625" style="2" customWidth="1"/>
    <col min="8450" max="8450" width="48.44140625" style="2" customWidth="1"/>
    <col min="8451" max="8451" width="12.5546875" style="2" customWidth="1"/>
    <col min="8452" max="8452" width="3.109375" style="2" customWidth="1"/>
    <col min="8453" max="8453" width="2.5546875" style="2" customWidth="1"/>
    <col min="8454" max="8454" width="17.6640625" style="2" customWidth="1"/>
    <col min="8455" max="8704" width="9.109375" style="2"/>
    <col min="8705" max="8705" width="9.6640625" style="2" customWidth="1"/>
    <col min="8706" max="8706" width="48.44140625" style="2" customWidth="1"/>
    <col min="8707" max="8707" width="12.5546875" style="2" customWidth="1"/>
    <col min="8708" max="8708" width="3.109375" style="2" customWidth="1"/>
    <col min="8709" max="8709" width="2.5546875" style="2" customWidth="1"/>
    <col min="8710" max="8710" width="17.6640625" style="2" customWidth="1"/>
    <col min="8711" max="8960" width="9.109375" style="2"/>
    <col min="8961" max="8961" width="9.6640625" style="2" customWidth="1"/>
    <col min="8962" max="8962" width="48.44140625" style="2" customWidth="1"/>
    <col min="8963" max="8963" width="12.5546875" style="2" customWidth="1"/>
    <col min="8964" max="8964" width="3.109375" style="2" customWidth="1"/>
    <col min="8965" max="8965" width="2.5546875" style="2" customWidth="1"/>
    <col min="8966" max="8966" width="17.6640625" style="2" customWidth="1"/>
    <col min="8967" max="9216" width="9.109375" style="2"/>
    <col min="9217" max="9217" width="9.6640625" style="2" customWidth="1"/>
    <col min="9218" max="9218" width="48.44140625" style="2" customWidth="1"/>
    <col min="9219" max="9219" width="12.5546875" style="2" customWidth="1"/>
    <col min="9220" max="9220" width="3.109375" style="2" customWidth="1"/>
    <col min="9221" max="9221" width="2.5546875" style="2" customWidth="1"/>
    <col min="9222" max="9222" width="17.6640625" style="2" customWidth="1"/>
    <col min="9223" max="9472" width="9.109375" style="2"/>
    <col min="9473" max="9473" width="9.6640625" style="2" customWidth="1"/>
    <col min="9474" max="9474" width="48.44140625" style="2" customWidth="1"/>
    <col min="9475" max="9475" width="12.5546875" style="2" customWidth="1"/>
    <col min="9476" max="9476" width="3.109375" style="2" customWidth="1"/>
    <col min="9477" max="9477" width="2.5546875" style="2" customWidth="1"/>
    <col min="9478" max="9478" width="17.6640625" style="2" customWidth="1"/>
    <col min="9479" max="9728" width="9.109375" style="2"/>
    <col min="9729" max="9729" width="9.6640625" style="2" customWidth="1"/>
    <col min="9730" max="9730" width="48.44140625" style="2" customWidth="1"/>
    <col min="9731" max="9731" width="12.5546875" style="2" customWidth="1"/>
    <col min="9732" max="9732" width="3.109375" style="2" customWidth="1"/>
    <col min="9733" max="9733" width="2.5546875" style="2" customWidth="1"/>
    <col min="9734" max="9734" width="17.6640625" style="2" customWidth="1"/>
    <col min="9735" max="9984" width="9.109375" style="2"/>
    <col min="9985" max="9985" width="9.6640625" style="2" customWidth="1"/>
    <col min="9986" max="9986" width="48.44140625" style="2" customWidth="1"/>
    <col min="9987" max="9987" width="12.5546875" style="2" customWidth="1"/>
    <col min="9988" max="9988" width="3.109375" style="2" customWidth="1"/>
    <col min="9989" max="9989" width="2.5546875" style="2" customWidth="1"/>
    <col min="9990" max="9990" width="17.6640625" style="2" customWidth="1"/>
    <col min="9991" max="10240" width="9.109375" style="2"/>
    <col min="10241" max="10241" width="9.6640625" style="2" customWidth="1"/>
    <col min="10242" max="10242" width="48.44140625" style="2" customWidth="1"/>
    <col min="10243" max="10243" width="12.5546875" style="2" customWidth="1"/>
    <col min="10244" max="10244" width="3.109375" style="2" customWidth="1"/>
    <col min="10245" max="10245" width="2.5546875" style="2" customWidth="1"/>
    <col min="10246" max="10246" width="17.6640625" style="2" customWidth="1"/>
    <col min="10247" max="10496" width="9.109375" style="2"/>
    <col min="10497" max="10497" width="9.6640625" style="2" customWidth="1"/>
    <col min="10498" max="10498" width="48.44140625" style="2" customWidth="1"/>
    <col min="10499" max="10499" width="12.5546875" style="2" customWidth="1"/>
    <col min="10500" max="10500" width="3.109375" style="2" customWidth="1"/>
    <col min="10501" max="10501" width="2.5546875" style="2" customWidth="1"/>
    <col min="10502" max="10502" width="17.6640625" style="2" customWidth="1"/>
    <col min="10503" max="10752" width="9.109375" style="2"/>
    <col min="10753" max="10753" width="9.6640625" style="2" customWidth="1"/>
    <col min="10754" max="10754" width="48.44140625" style="2" customWidth="1"/>
    <col min="10755" max="10755" width="12.5546875" style="2" customWidth="1"/>
    <col min="10756" max="10756" width="3.109375" style="2" customWidth="1"/>
    <col min="10757" max="10757" width="2.5546875" style="2" customWidth="1"/>
    <col min="10758" max="10758" width="17.6640625" style="2" customWidth="1"/>
    <col min="10759" max="11008" width="9.109375" style="2"/>
    <col min="11009" max="11009" width="9.6640625" style="2" customWidth="1"/>
    <col min="11010" max="11010" width="48.44140625" style="2" customWidth="1"/>
    <col min="11011" max="11011" width="12.5546875" style="2" customWidth="1"/>
    <col min="11012" max="11012" width="3.109375" style="2" customWidth="1"/>
    <col min="11013" max="11013" width="2.5546875" style="2" customWidth="1"/>
    <col min="11014" max="11014" width="17.6640625" style="2" customWidth="1"/>
    <col min="11015" max="11264" width="9.109375" style="2"/>
    <col min="11265" max="11265" width="9.6640625" style="2" customWidth="1"/>
    <col min="11266" max="11266" width="48.44140625" style="2" customWidth="1"/>
    <col min="11267" max="11267" width="12.5546875" style="2" customWidth="1"/>
    <col min="11268" max="11268" width="3.109375" style="2" customWidth="1"/>
    <col min="11269" max="11269" width="2.5546875" style="2" customWidth="1"/>
    <col min="11270" max="11270" width="17.6640625" style="2" customWidth="1"/>
    <col min="11271" max="11520" width="9.109375" style="2"/>
    <col min="11521" max="11521" width="9.6640625" style="2" customWidth="1"/>
    <col min="11522" max="11522" width="48.44140625" style="2" customWidth="1"/>
    <col min="11523" max="11523" width="12.5546875" style="2" customWidth="1"/>
    <col min="11524" max="11524" width="3.109375" style="2" customWidth="1"/>
    <col min="11525" max="11525" width="2.5546875" style="2" customWidth="1"/>
    <col min="11526" max="11526" width="17.6640625" style="2" customWidth="1"/>
    <col min="11527" max="11776" width="9.109375" style="2"/>
    <col min="11777" max="11777" width="9.6640625" style="2" customWidth="1"/>
    <col min="11778" max="11778" width="48.44140625" style="2" customWidth="1"/>
    <col min="11779" max="11779" width="12.5546875" style="2" customWidth="1"/>
    <col min="11780" max="11780" width="3.109375" style="2" customWidth="1"/>
    <col min="11781" max="11781" width="2.5546875" style="2" customWidth="1"/>
    <col min="11782" max="11782" width="17.6640625" style="2" customWidth="1"/>
    <col min="11783" max="12032" width="9.109375" style="2"/>
    <col min="12033" max="12033" width="9.6640625" style="2" customWidth="1"/>
    <col min="12034" max="12034" width="48.44140625" style="2" customWidth="1"/>
    <col min="12035" max="12035" width="12.5546875" style="2" customWidth="1"/>
    <col min="12036" max="12036" width="3.109375" style="2" customWidth="1"/>
    <col min="12037" max="12037" width="2.5546875" style="2" customWidth="1"/>
    <col min="12038" max="12038" width="17.6640625" style="2" customWidth="1"/>
    <col min="12039" max="12288" width="9.109375" style="2"/>
    <col min="12289" max="12289" width="9.6640625" style="2" customWidth="1"/>
    <col min="12290" max="12290" width="48.44140625" style="2" customWidth="1"/>
    <col min="12291" max="12291" width="12.5546875" style="2" customWidth="1"/>
    <col min="12292" max="12292" width="3.109375" style="2" customWidth="1"/>
    <col min="12293" max="12293" width="2.5546875" style="2" customWidth="1"/>
    <col min="12294" max="12294" width="17.6640625" style="2" customWidth="1"/>
    <col min="12295" max="12544" width="9.109375" style="2"/>
    <col min="12545" max="12545" width="9.6640625" style="2" customWidth="1"/>
    <col min="12546" max="12546" width="48.44140625" style="2" customWidth="1"/>
    <col min="12547" max="12547" width="12.5546875" style="2" customWidth="1"/>
    <col min="12548" max="12548" width="3.109375" style="2" customWidth="1"/>
    <col min="12549" max="12549" width="2.5546875" style="2" customWidth="1"/>
    <col min="12550" max="12550" width="17.6640625" style="2" customWidth="1"/>
    <col min="12551" max="12800" width="9.109375" style="2"/>
    <col min="12801" max="12801" width="9.6640625" style="2" customWidth="1"/>
    <col min="12802" max="12802" width="48.44140625" style="2" customWidth="1"/>
    <col min="12803" max="12803" width="12.5546875" style="2" customWidth="1"/>
    <col min="12804" max="12804" width="3.109375" style="2" customWidth="1"/>
    <col min="12805" max="12805" width="2.5546875" style="2" customWidth="1"/>
    <col min="12806" max="12806" width="17.6640625" style="2" customWidth="1"/>
    <col min="12807" max="13056" width="9.109375" style="2"/>
    <col min="13057" max="13057" width="9.6640625" style="2" customWidth="1"/>
    <col min="13058" max="13058" width="48.44140625" style="2" customWidth="1"/>
    <col min="13059" max="13059" width="12.5546875" style="2" customWidth="1"/>
    <col min="13060" max="13060" width="3.109375" style="2" customWidth="1"/>
    <col min="13061" max="13061" width="2.5546875" style="2" customWidth="1"/>
    <col min="13062" max="13062" width="17.6640625" style="2" customWidth="1"/>
    <col min="13063" max="13312" width="9.109375" style="2"/>
    <col min="13313" max="13313" width="9.6640625" style="2" customWidth="1"/>
    <col min="13314" max="13314" width="48.44140625" style="2" customWidth="1"/>
    <col min="13315" max="13315" width="12.5546875" style="2" customWidth="1"/>
    <col min="13316" max="13316" width="3.109375" style="2" customWidth="1"/>
    <col min="13317" max="13317" width="2.5546875" style="2" customWidth="1"/>
    <col min="13318" max="13318" width="17.6640625" style="2" customWidth="1"/>
    <col min="13319" max="13568" width="9.109375" style="2"/>
    <col min="13569" max="13569" width="9.6640625" style="2" customWidth="1"/>
    <col min="13570" max="13570" width="48.44140625" style="2" customWidth="1"/>
    <col min="13571" max="13571" width="12.5546875" style="2" customWidth="1"/>
    <col min="13572" max="13572" width="3.109375" style="2" customWidth="1"/>
    <col min="13573" max="13573" width="2.5546875" style="2" customWidth="1"/>
    <col min="13574" max="13574" width="17.6640625" style="2" customWidth="1"/>
    <col min="13575" max="13824" width="9.109375" style="2"/>
    <col min="13825" max="13825" width="9.6640625" style="2" customWidth="1"/>
    <col min="13826" max="13826" width="48.44140625" style="2" customWidth="1"/>
    <col min="13827" max="13827" width="12.5546875" style="2" customWidth="1"/>
    <col min="13828" max="13828" width="3.109375" style="2" customWidth="1"/>
    <col min="13829" max="13829" width="2.5546875" style="2" customWidth="1"/>
    <col min="13830" max="13830" width="17.6640625" style="2" customWidth="1"/>
    <col min="13831" max="14080" width="9.109375" style="2"/>
    <col min="14081" max="14081" width="9.6640625" style="2" customWidth="1"/>
    <col min="14082" max="14082" width="48.44140625" style="2" customWidth="1"/>
    <col min="14083" max="14083" width="12.5546875" style="2" customWidth="1"/>
    <col min="14084" max="14084" width="3.109375" style="2" customWidth="1"/>
    <col min="14085" max="14085" width="2.5546875" style="2" customWidth="1"/>
    <col min="14086" max="14086" width="17.6640625" style="2" customWidth="1"/>
    <col min="14087" max="14336" width="9.109375" style="2"/>
    <col min="14337" max="14337" width="9.6640625" style="2" customWidth="1"/>
    <col min="14338" max="14338" width="48.44140625" style="2" customWidth="1"/>
    <col min="14339" max="14339" width="12.5546875" style="2" customWidth="1"/>
    <col min="14340" max="14340" width="3.109375" style="2" customWidth="1"/>
    <col min="14341" max="14341" width="2.5546875" style="2" customWidth="1"/>
    <col min="14342" max="14342" width="17.6640625" style="2" customWidth="1"/>
    <col min="14343" max="14592" width="9.109375" style="2"/>
    <col min="14593" max="14593" width="9.6640625" style="2" customWidth="1"/>
    <col min="14594" max="14594" width="48.44140625" style="2" customWidth="1"/>
    <col min="14595" max="14595" width="12.5546875" style="2" customWidth="1"/>
    <col min="14596" max="14596" width="3.109375" style="2" customWidth="1"/>
    <col min="14597" max="14597" width="2.5546875" style="2" customWidth="1"/>
    <col min="14598" max="14598" width="17.6640625" style="2" customWidth="1"/>
    <col min="14599" max="14848" width="9.109375" style="2"/>
    <col min="14849" max="14849" width="9.6640625" style="2" customWidth="1"/>
    <col min="14850" max="14850" width="48.44140625" style="2" customWidth="1"/>
    <col min="14851" max="14851" width="12.5546875" style="2" customWidth="1"/>
    <col min="14852" max="14852" width="3.109375" style="2" customWidth="1"/>
    <col min="14853" max="14853" width="2.5546875" style="2" customWidth="1"/>
    <col min="14854" max="14854" width="17.6640625" style="2" customWidth="1"/>
    <col min="14855" max="15104" width="9.109375" style="2"/>
    <col min="15105" max="15105" width="9.6640625" style="2" customWidth="1"/>
    <col min="15106" max="15106" width="48.44140625" style="2" customWidth="1"/>
    <col min="15107" max="15107" width="12.5546875" style="2" customWidth="1"/>
    <col min="15108" max="15108" width="3.109375" style="2" customWidth="1"/>
    <col min="15109" max="15109" width="2.5546875" style="2" customWidth="1"/>
    <col min="15110" max="15110" width="17.6640625" style="2" customWidth="1"/>
    <col min="15111" max="15360" width="9.109375" style="2"/>
    <col min="15361" max="15361" width="9.6640625" style="2" customWidth="1"/>
    <col min="15362" max="15362" width="48.44140625" style="2" customWidth="1"/>
    <col min="15363" max="15363" width="12.5546875" style="2" customWidth="1"/>
    <col min="15364" max="15364" width="3.109375" style="2" customWidth="1"/>
    <col min="15365" max="15365" width="2.5546875" style="2" customWidth="1"/>
    <col min="15366" max="15366" width="17.6640625" style="2" customWidth="1"/>
    <col min="15367" max="15616" width="9.109375" style="2"/>
    <col min="15617" max="15617" width="9.6640625" style="2" customWidth="1"/>
    <col min="15618" max="15618" width="48.44140625" style="2" customWidth="1"/>
    <col min="15619" max="15619" width="12.5546875" style="2" customWidth="1"/>
    <col min="15620" max="15620" width="3.109375" style="2" customWidth="1"/>
    <col min="15621" max="15621" width="2.5546875" style="2" customWidth="1"/>
    <col min="15622" max="15622" width="17.6640625" style="2" customWidth="1"/>
    <col min="15623" max="15872" width="9.109375" style="2"/>
    <col min="15873" max="15873" width="9.6640625" style="2" customWidth="1"/>
    <col min="15874" max="15874" width="48.44140625" style="2" customWidth="1"/>
    <col min="15875" max="15875" width="12.5546875" style="2" customWidth="1"/>
    <col min="15876" max="15876" width="3.109375" style="2" customWidth="1"/>
    <col min="15877" max="15877" width="2.5546875" style="2" customWidth="1"/>
    <col min="15878" max="15878" width="17.6640625" style="2" customWidth="1"/>
    <col min="15879" max="16128" width="9.109375" style="2"/>
    <col min="16129" max="16129" width="9.6640625" style="2" customWidth="1"/>
    <col min="16130" max="16130" width="48.44140625" style="2" customWidth="1"/>
    <col min="16131" max="16131" width="12.5546875" style="2" customWidth="1"/>
    <col min="16132" max="16132" width="3.109375" style="2" customWidth="1"/>
    <col min="16133" max="16133" width="2.5546875" style="2" customWidth="1"/>
    <col min="16134" max="16134" width="17.6640625" style="2" customWidth="1"/>
    <col min="16135" max="16384" width="9.109375" style="2"/>
  </cols>
  <sheetData>
    <row r="1" spans="1:6" ht="14.25" customHeight="1" x14ac:dyDescent="0.25">
      <c r="A1" s="1" t="s">
        <v>0</v>
      </c>
      <c r="B1" s="17" t="s">
        <v>1</v>
      </c>
      <c r="C1" s="18"/>
      <c r="D1" s="18"/>
      <c r="F1" s="3">
        <v>193245.07</v>
      </c>
    </row>
    <row r="2" spans="1:6" ht="14.25" customHeight="1" x14ac:dyDescent="0.25">
      <c r="A2" s="1" t="s">
        <v>2</v>
      </c>
      <c r="B2" s="17" t="s">
        <v>3</v>
      </c>
      <c r="C2" s="18"/>
      <c r="D2" s="18"/>
      <c r="F2" s="3">
        <v>8202</v>
      </c>
    </row>
    <row r="3" spans="1:6" ht="14.25" customHeight="1" x14ac:dyDescent="0.25">
      <c r="A3" s="1" t="s">
        <v>4</v>
      </c>
      <c r="B3" s="17" t="s">
        <v>5</v>
      </c>
      <c r="C3" s="18"/>
      <c r="D3" s="18"/>
      <c r="F3" s="3">
        <v>5842.67</v>
      </c>
    </row>
    <row r="4" spans="1:6" ht="14.25" customHeight="1" x14ac:dyDescent="0.25">
      <c r="A4" s="1" t="s">
        <v>6</v>
      </c>
      <c r="B4" s="17" t="s">
        <v>7</v>
      </c>
      <c r="C4" s="18"/>
      <c r="D4" s="18"/>
      <c r="F4" s="3">
        <v>57845.69</v>
      </c>
    </row>
    <row r="5" spans="1:6" ht="14.25" customHeight="1" x14ac:dyDescent="0.25">
      <c r="B5" s="21" t="s">
        <v>8</v>
      </c>
      <c r="C5" s="22"/>
      <c r="D5" s="23">
        <v>265135.43</v>
      </c>
      <c r="E5" s="20"/>
      <c r="F5" s="20"/>
    </row>
    <row r="6" spans="1:6" ht="8.4" customHeight="1" x14ac:dyDescent="0.25"/>
    <row r="7" spans="1:6" ht="14.25" customHeight="1" x14ac:dyDescent="0.25">
      <c r="A7" s="1" t="s">
        <v>9</v>
      </c>
      <c r="B7" s="17" t="s">
        <v>10</v>
      </c>
      <c r="C7" s="18"/>
      <c r="D7" s="18"/>
      <c r="F7" s="3">
        <v>8269.01</v>
      </c>
    </row>
    <row r="8" spans="1:6" ht="14.25" customHeight="1" x14ac:dyDescent="0.25">
      <c r="A8" s="1" t="s">
        <v>11</v>
      </c>
      <c r="B8" s="17" t="s">
        <v>12</v>
      </c>
      <c r="C8" s="18"/>
      <c r="D8" s="18"/>
      <c r="F8" s="3">
        <v>12769.98</v>
      </c>
    </row>
    <row r="9" spans="1:6" ht="14.25" customHeight="1" x14ac:dyDescent="0.25">
      <c r="A9" s="1" t="s">
        <v>13</v>
      </c>
      <c r="B9" s="17" t="s">
        <v>14</v>
      </c>
      <c r="C9" s="18"/>
      <c r="D9" s="18"/>
      <c r="F9" s="3">
        <v>815</v>
      </c>
    </row>
    <row r="10" spans="1:6" ht="14.25" customHeight="1" x14ac:dyDescent="0.25">
      <c r="A10" s="1" t="s">
        <v>127</v>
      </c>
      <c r="B10" s="17" t="s">
        <v>128</v>
      </c>
      <c r="C10" s="18"/>
      <c r="D10" s="18"/>
      <c r="F10" s="3">
        <v>50</v>
      </c>
    </row>
    <row r="11" spans="1:6" ht="14.25" customHeight="1" x14ac:dyDescent="0.25">
      <c r="A11" s="1" t="s">
        <v>15</v>
      </c>
      <c r="B11" s="17" t="s">
        <v>16</v>
      </c>
      <c r="C11" s="18"/>
      <c r="D11" s="18"/>
      <c r="F11" s="3">
        <v>2319.54</v>
      </c>
    </row>
    <row r="12" spans="1:6" ht="14.25" customHeight="1" x14ac:dyDescent="0.25">
      <c r="A12" s="1" t="s">
        <v>129</v>
      </c>
      <c r="B12" s="17" t="s">
        <v>130</v>
      </c>
      <c r="C12" s="18"/>
      <c r="D12" s="18"/>
      <c r="F12" s="3">
        <v>1447.92</v>
      </c>
    </row>
    <row r="13" spans="1:6" ht="14.25" customHeight="1" x14ac:dyDescent="0.25">
      <c r="A13" s="1" t="s">
        <v>131</v>
      </c>
      <c r="B13" s="17" t="s">
        <v>132</v>
      </c>
      <c r="C13" s="18"/>
      <c r="D13" s="18"/>
      <c r="F13" s="3">
        <v>162</v>
      </c>
    </row>
    <row r="14" spans="1:6" ht="14.25" customHeight="1" x14ac:dyDescent="0.25">
      <c r="A14" s="1" t="s">
        <v>19</v>
      </c>
      <c r="B14" s="17" t="s">
        <v>20</v>
      </c>
      <c r="C14" s="18"/>
      <c r="D14" s="18"/>
      <c r="F14" s="3">
        <v>8810</v>
      </c>
    </row>
    <row r="15" spans="1:6" ht="14.25" customHeight="1" x14ac:dyDescent="0.25">
      <c r="B15" s="21" t="s">
        <v>21</v>
      </c>
      <c r="C15" s="22"/>
      <c r="D15" s="23">
        <v>34643.449999999997</v>
      </c>
      <c r="E15" s="20"/>
      <c r="F15" s="20"/>
    </row>
    <row r="16" spans="1:6" ht="8.4" customHeight="1" x14ac:dyDescent="0.25"/>
    <row r="17" spans="1:6" ht="14.25" customHeight="1" x14ac:dyDescent="0.25">
      <c r="A17" s="1" t="s">
        <v>22</v>
      </c>
      <c r="B17" s="17" t="s">
        <v>23</v>
      </c>
      <c r="C17" s="18"/>
      <c r="D17" s="18"/>
      <c r="F17" s="3">
        <v>31278.78</v>
      </c>
    </row>
    <row r="18" spans="1:6" ht="14.25" customHeight="1" x14ac:dyDescent="0.25">
      <c r="A18" s="1" t="s">
        <v>159</v>
      </c>
      <c r="B18" s="17" t="s">
        <v>160</v>
      </c>
      <c r="C18" s="18"/>
      <c r="D18" s="18"/>
      <c r="F18" s="3">
        <v>180.65</v>
      </c>
    </row>
    <row r="19" spans="1:6" ht="14.25" customHeight="1" x14ac:dyDescent="0.25">
      <c r="A19" s="1" t="s">
        <v>24</v>
      </c>
      <c r="B19" s="17" t="s">
        <v>25</v>
      </c>
      <c r="C19" s="18"/>
      <c r="D19" s="18"/>
      <c r="F19" s="3">
        <v>175.6</v>
      </c>
    </row>
    <row r="20" spans="1:6" ht="14.25" customHeight="1" x14ac:dyDescent="0.25">
      <c r="A20" s="1" t="s">
        <v>26</v>
      </c>
      <c r="B20" s="17" t="s">
        <v>27</v>
      </c>
      <c r="C20" s="18"/>
      <c r="D20" s="18"/>
      <c r="F20" s="3">
        <v>5191.3500000000004</v>
      </c>
    </row>
    <row r="21" spans="1:6" ht="14.25" customHeight="1" x14ac:dyDescent="0.25">
      <c r="A21" s="1" t="s">
        <v>28</v>
      </c>
      <c r="B21" s="17" t="s">
        <v>29</v>
      </c>
      <c r="C21" s="18"/>
      <c r="D21" s="18"/>
      <c r="F21" s="3">
        <v>526.70000000000005</v>
      </c>
    </row>
    <row r="22" spans="1:6" ht="14.25" customHeight="1" x14ac:dyDescent="0.25">
      <c r="A22" s="1" t="s">
        <v>30</v>
      </c>
      <c r="B22" s="17" t="s">
        <v>31</v>
      </c>
      <c r="C22" s="18"/>
      <c r="D22" s="18"/>
      <c r="F22" s="3">
        <v>136</v>
      </c>
    </row>
    <row r="23" spans="1:6" ht="14.25" customHeight="1" x14ac:dyDescent="0.25">
      <c r="A23" s="1" t="s">
        <v>32</v>
      </c>
      <c r="B23" s="17" t="s">
        <v>33</v>
      </c>
      <c r="C23" s="18"/>
      <c r="D23" s="18"/>
      <c r="F23" s="3">
        <v>1122.3900000000001</v>
      </c>
    </row>
    <row r="24" spans="1:6" ht="14.25" customHeight="1" x14ac:dyDescent="0.25">
      <c r="A24" s="1" t="s">
        <v>135</v>
      </c>
      <c r="B24" s="17" t="s">
        <v>136</v>
      </c>
      <c r="C24" s="18"/>
      <c r="D24" s="18"/>
      <c r="F24" s="3">
        <v>272.8</v>
      </c>
    </row>
    <row r="25" spans="1:6" ht="14.25" customHeight="1" x14ac:dyDescent="0.25">
      <c r="A25" s="1" t="s">
        <v>34</v>
      </c>
      <c r="B25" s="17" t="s">
        <v>35</v>
      </c>
      <c r="C25" s="18"/>
      <c r="D25" s="18"/>
      <c r="F25" s="3">
        <v>573.29999999999995</v>
      </c>
    </row>
    <row r="26" spans="1:6" ht="14.25" customHeight="1" x14ac:dyDescent="0.25">
      <c r="A26" s="1" t="s">
        <v>36</v>
      </c>
      <c r="B26" s="17" t="s">
        <v>37</v>
      </c>
      <c r="C26" s="18"/>
      <c r="D26" s="18"/>
      <c r="F26" s="3">
        <v>4064</v>
      </c>
    </row>
    <row r="27" spans="1:6" ht="14.25" customHeight="1" x14ac:dyDescent="0.25">
      <c r="A27" s="1" t="s">
        <v>38</v>
      </c>
      <c r="B27" s="17" t="s">
        <v>39</v>
      </c>
      <c r="C27" s="18"/>
      <c r="D27" s="18"/>
      <c r="F27" s="3">
        <v>1218.3599999999999</v>
      </c>
    </row>
    <row r="28" spans="1:6" ht="14.25" customHeight="1" x14ac:dyDescent="0.25">
      <c r="A28" s="1" t="s">
        <v>161</v>
      </c>
      <c r="B28" s="17" t="s">
        <v>162</v>
      </c>
      <c r="C28" s="18"/>
      <c r="D28" s="18"/>
      <c r="F28" s="3">
        <v>25.1</v>
      </c>
    </row>
    <row r="29" spans="1:6" ht="14.25" customHeight="1" x14ac:dyDescent="0.25">
      <c r="A29" s="1" t="s">
        <v>120</v>
      </c>
      <c r="B29" s="17" t="s">
        <v>121</v>
      </c>
      <c r="C29" s="18"/>
      <c r="D29" s="18"/>
      <c r="F29" s="3">
        <v>352.6</v>
      </c>
    </row>
    <row r="30" spans="1:6" ht="14.25" customHeight="1" x14ac:dyDescent="0.25">
      <c r="A30" s="1" t="s">
        <v>163</v>
      </c>
      <c r="B30" s="17" t="s">
        <v>164</v>
      </c>
      <c r="C30" s="18"/>
      <c r="D30" s="18"/>
      <c r="F30" s="3">
        <v>12.18</v>
      </c>
    </row>
    <row r="31" spans="1:6" ht="14.25" customHeight="1" x14ac:dyDescent="0.25">
      <c r="A31" s="1" t="s">
        <v>165</v>
      </c>
      <c r="B31" s="17" t="s">
        <v>166</v>
      </c>
      <c r="C31" s="18"/>
      <c r="D31" s="18"/>
      <c r="F31" s="3">
        <v>26</v>
      </c>
    </row>
    <row r="32" spans="1:6" ht="14.25" customHeight="1" x14ac:dyDescent="0.25">
      <c r="A32" s="1" t="s">
        <v>137</v>
      </c>
      <c r="B32" s="17" t="s">
        <v>138</v>
      </c>
      <c r="C32" s="18"/>
      <c r="D32" s="18"/>
      <c r="F32" s="3">
        <v>288</v>
      </c>
    </row>
    <row r="33" spans="1:6" ht="14.25" customHeight="1" x14ac:dyDescent="0.25">
      <c r="A33" s="1" t="s">
        <v>44</v>
      </c>
      <c r="B33" s="17" t="s">
        <v>45</v>
      </c>
      <c r="C33" s="18"/>
      <c r="D33" s="18"/>
      <c r="F33" s="3">
        <v>40549.519999999997</v>
      </c>
    </row>
    <row r="34" spans="1:6" ht="14.25" customHeight="1" x14ac:dyDescent="0.25">
      <c r="A34" s="1" t="s">
        <v>141</v>
      </c>
      <c r="B34" s="17" t="s">
        <v>142</v>
      </c>
      <c r="C34" s="18"/>
      <c r="D34" s="18"/>
      <c r="F34" s="3">
        <v>70.08</v>
      </c>
    </row>
    <row r="35" spans="1:6" ht="14.25" customHeight="1" x14ac:dyDescent="0.25">
      <c r="A35" s="1" t="s">
        <v>46</v>
      </c>
      <c r="B35" s="17" t="s">
        <v>47</v>
      </c>
      <c r="C35" s="18"/>
      <c r="D35" s="18"/>
      <c r="F35" s="3">
        <v>1320</v>
      </c>
    </row>
    <row r="36" spans="1:6" ht="14.25" customHeight="1" x14ac:dyDescent="0.25">
      <c r="A36" s="1" t="s">
        <v>143</v>
      </c>
      <c r="B36" s="17" t="s">
        <v>144</v>
      </c>
      <c r="C36" s="18"/>
      <c r="D36" s="18"/>
      <c r="F36" s="3">
        <v>1445.9</v>
      </c>
    </row>
    <row r="37" spans="1:6" ht="14.25" customHeight="1" x14ac:dyDescent="0.25">
      <c r="A37" s="1" t="s">
        <v>48</v>
      </c>
      <c r="B37" s="17" t="s">
        <v>49</v>
      </c>
      <c r="C37" s="18"/>
      <c r="D37" s="18"/>
      <c r="F37" s="3">
        <v>4487</v>
      </c>
    </row>
    <row r="38" spans="1:6" ht="14.25" customHeight="1" x14ac:dyDescent="0.25">
      <c r="A38" s="1" t="s">
        <v>145</v>
      </c>
      <c r="B38" s="17" t="s">
        <v>146</v>
      </c>
      <c r="C38" s="18"/>
      <c r="D38" s="18"/>
      <c r="F38" s="3">
        <v>244.1</v>
      </c>
    </row>
    <row r="39" spans="1:6" ht="14.25" customHeight="1" x14ac:dyDescent="0.25">
      <c r="A39" s="1" t="s">
        <v>113</v>
      </c>
      <c r="B39" s="17" t="s">
        <v>114</v>
      </c>
      <c r="C39" s="18"/>
      <c r="D39" s="18"/>
      <c r="F39" s="3">
        <v>1039.68</v>
      </c>
    </row>
    <row r="40" spans="1:6" ht="14.25" customHeight="1" x14ac:dyDescent="0.25">
      <c r="A40" s="1" t="s">
        <v>50</v>
      </c>
      <c r="B40" s="17" t="s">
        <v>51</v>
      </c>
      <c r="C40" s="18"/>
      <c r="D40" s="18"/>
      <c r="F40" s="3">
        <v>360</v>
      </c>
    </row>
    <row r="41" spans="1:6" ht="14.25" customHeight="1" x14ac:dyDescent="0.25">
      <c r="A41" s="1" t="s">
        <v>52</v>
      </c>
      <c r="B41" s="17" t="s">
        <v>53</v>
      </c>
      <c r="C41" s="18"/>
      <c r="D41" s="18"/>
      <c r="F41" s="3">
        <v>654.96</v>
      </c>
    </row>
    <row r="42" spans="1:6" ht="14.25" customHeight="1" x14ac:dyDescent="0.25">
      <c r="A42" s="1" t="s">
        <v>54</v>
      </c>
      <c r="B42" s="17" t="s">
        <v>55</v>
      </c>
      <c r="C42" s="18"/>
      <c r="D42" s="18"/>
      <c r="F42" s="3">
        <v>1408.79</v>
      </c>
    </row>
    <row r="43" spans="1:6" ht="14.25" customHeight="1" x14ac:dyDescent="0.25">
      <c r="A43" s="1" t="s">
        <v>167</v>
      </c>
      <c r="B43" s="17" t="s">
        <v>168</v>
      </c>
      <c r="C43" s="18"/>
      <c r="D43" s="18"/>
      <c r="F43" s="3">
        <v>138</v>
      </c>
    </row>
    <row r="44" spans="1:6" ht="14.25" customHeight="1" x14ac:dyDescent="0.25">
      <c r="A44" s="1" t="s">
        <v>56</v>
      </c>
      <c r="B44" s="17" t="s">
        <v>57</v>
      </c>
      <c r="C44" s="18"/>
      <c r="D44" s="18"/>
      <c r="F44" s="3">
        <v>760.7</v>
      </c>
    </row>
    <row r="45" spans="1:6" ht="14.25" customHeight="1" x14ac:dyDescent="0.25">
      <c r="A45" s="1" t="s">
        <v>58</v>
      </c>
      <c r="B45" s="17" t="s">
        <v>59</v>
      </c>
      <c r="C45" s="18"/>
      <c r="D45" s="18"/>
      <c r="F45" s="3">
        <v>6481.55</v>
      </c>
    </row>
    <row r="46" spans="1:6" ht="14.25" customHeight="1" x14ac:dyDescent="0.25">
      <c r="B46" s="21" t="s">
        <v>60</v>
      </c>
      <c r="C46" s="22"/>
      <c r="D46" s="23">
        <v>104404.09</v>
      </c>
      <c r="E46" s="20"/>
      <c r="F46" s="20"/>
    </row>
    <row r="47" spans="1:6" ht="8.4" customHeight="1" x14ac:dyDescent="0.25"/>
    <row r="48" spans="1:6" ht="14.25" customHeight="1" x14ac:dyDescent="0.25">
      <c r="A48" s="1" t="s">
        <v>61</v>
      </c>
      <c r="B48" s="17" t="s">
        <v>62</v>
      </c>
      <c r="C48" s="18"/>
      <c r="D48" s="18"/>
      <c r="F48" s="3">
        <v>34380.19</v>
      </c>
    </row>
    <row r="49" spans="1:6" ht="14.25" customHeight="1" x14ac:dyDescent="0.25">
      <c r="A49" s="1" t="s">
        <v>63</v>
      </c>
      <c r="B49" s="17" t="s">
        <v>64</v>
      </c>
      <c r="C49" s="18"/>
      <c r="D49" s="18"/>
      <c r="F49" s="3">
        <v>24094.62</v>
      </c>
    </row>
    <row r="50" spans="1:6" ht="14.25" customHeight="1" x14ac:dyDescent="0.25">
      <c r="A50" s="1" t="s">
        <v>65</v>
      </c>
      <c r="B50" s="17" t="s">
        <v>66</v>
      </c>
      <c r="C50" s="18"/>
      <c r="D50" s="18"/>
      <c r="F50" s="3">
        <v>4852.84</v>
      </c>
    </row>
    <row r="51" spans="1:6" ht="14.25" customHeight="1" x14ac:dyDescent="0.25">
      <c r="A51" s="1" t="s">
        <v>67</v>
      </c>
      <c r="B51" s="17" t="s">
        <v>68</v>
      </c>
      <c r="C51" s="18"/>
      <c r="D51" s="18"/>
      <c r="F51" s="3">
        <v>1000</v>
      </c>
    </row>
    <row r="52" spans="1:6" ht="14.25" customHeight="1" x14ac:dyDescent="0.25">
      <c r="A52" s="1" t="s">
        <v>115</v>
      </c>
      <c r="B52" s="17" t="s">
        <v>116</v>
      </c>
      <c r="C52" s="18"/>
      <c r="D52" s="18"/>
      <c r="F52" s="3">
        <v>4354.12</v>
      </c>
    </row>
    <row r="53" spans="1:6" ht="14.25" customHeight="1" x14ac:dyDescent="0.25">
      <c r="A53" s="1" t="s">
        <v>69</v>
      </c>
      <c r="B53" s="17" t="s">
        <v>70</v>
      </c>
      <c r="C53" s="18"/>
      <c r="D53" s="18"/>
      <c r="F53" s="3">
        <v>1094.08</v>
      </c>
    </row>
    <row r="54" spans="1:6" ht="14.25" customHeight="1" x14ac:dyDescent="0.25">
      <c r="A54" s="1" t="s">
        <v>71</v>
      </c>
      <c r="B54" s="17" t="s">
        <v>72</v>
      </c>
      <c r="C54" s="18"/>
      <c r="D54" s="18"/>
      <c r="F54" s="3">
        <v>3480</v>
      </c>
    </row>
    <row r="55" spans="1:6" ht="14.25" customHeight="1" x14ac:dyDescent="0.25">
      <c r="A55" s="1" t="s">
        <v>73</v>
      </c>
      <c r="B55" s="17" t="s">
        <v>74</v>
      </c>
      <c r="C55" s="18"/>
      <c r="D55" s="18"/>
      <c r="F55" s="3">
        <v>2028</v>
      </c>
    </row>
    <row r="56" spans="1:6" ht="7.5" customHeight="1" x14ac:dyDescent="0.25"/>
    <row r="57" spans="1:6" ht="14.25" customHeight="1" x14ac:dyDescent="0.25">
      <c r="A57" s="1" t="s">
        <v>75</v>
      </c>
      <c r="B57" s="17" t="s">
        <v>76</v>
      </c>
      <c r="C57" s="18"/>
      <c r="D57" s="18"/>
      <c r="F57" s="3">
        <v>2281.63</v>
      </c>
    </row>
    <row r="58" spans="1:6" ht="14.25" customHeight="1" x14ac:dyDescent="0.25">
      <c r="A58" s="1" t="s">
        <v>77</v>
      </c>
      <c r="B58" s="17" t="s">
        <v>78</v>
      </c>
      <c r="C58" s="18"/>
      <c r="D58" s="18"/>
      <c r="F58" s="3">
        <v>350</v>
      </c>
    </row>
    <row r="59" spans="1:6" ht="14.25" customHeight="1" x14ac:dyDescent="0.25">
      <c r="A59" s="1" t="s">
        <v>149</v>
      </c>
      <c r="B59" s="17" t="s">
        <v>150</v>
      </c>
      <c r="C59" s="18"/>
      <c r="D59" s="18"/>
      <c r="F59" s="3">
        <v>1139.74</v>
      </c>
    </row>
    <row r="60" spans="1:6" ht="14.25" customHeight="1" x14ac:dyDescent="0.25">
      <c r="A60" s="1" t="s">
        <v>79</v>
      </c>
      <c r="B60" s="17" t="s">
        <v>80</v>
      </c>
      <c r="C60" s="18"/>
      <c r="D60" s="18"/>
      <c r="F60" s="3">
        <v>460.39</v>
      </c>
    </row>
    <row r="61" spans="1:6" ht="14.25" customHeight="1" x14ac:dyDescent="0.25">
      <c r="B61" s="21" t="s">
        <v>81</v>
      </c>
      <c r="C61" s="22"/>
      <c r="D61" s="23">
        <v>79515.61</v>
      </c>
      <c r="E61" s="20"/>
      <c r="F61" s="20"/>
    </row>
    <row r="62" spans="1:6" ht="8.4" customHeight="1" x14ac:dyDescent="0.25"/>
    <row r="63" spans="1:6" ht="14.25" customHeight="1" x14ac:dyDescent="0.25">
      <c r="A63" s="1" t="s">
        <v>82</v>
      </c>
      <c r="B63" s="17" t="s">
        <v>83</v>
      </c>
      <c r="C63" s="18"/>
      <c r="D63" s="18"/>
      <c r="F63" s="3">
        <v>16435.93</v>
      </c>
    </row>
    <row r="64" spans="1:6" ht="14.25" customHeight="1" x14ac:dyDescent="0.25">
      <c r="A64" s="1" t="s">
        <v>84</v>
      </c>
      <c r="B64" s="17" t="s">
        <v>85</v>
      </c>
      <c r="C64" s="18"/>
      <c r="D64" s="18"/>
      <c r="F64" s="3">
        <v>1075.3399999999999</v>
      </c>
    </row>
    <row r="65" spans="1:6" ht="14.25" customHeight="1" x14ac:dyDescent="0.25">
      <c r="A65" s="1" t="s">
        <v>86</v>
      </c>
      <c r="B65" s="17" t="s">
        <v>87</v>
      </c>
      <c r="C65" s="18"/>
      <c r="D65" s="18"/>
      <c r="F65" s="3">
        <v>23890.560000000001</v>
      </c>
    </row>
    <row r="66" spans="1:6" ht="14.25" customHeight="1" x14ac:dyDescent="0.25">
      <c r="A66" s="1" t="s">
        <v>169</v>
      </c>
      <c r="B66" s="17" t="s">
        <v>170</v>
      </c>
      <c r="C66" s="18"/>
      <c r="D66" s="18"/>
      <c r="F66" s="3">
        <v>36</v>
      </c>
    </row>
    <row r="67" spans="1:6" ht="14.25" customHeight="1" x14ac:dyDescent="0.25">
      <c r="B67" s="21" t="s">
        <v>90</v>
      </c>
      <c r="C67" s="22"/>
      <c r="D67" s="23">
        <v>41437.83</v>
      </c>
      <c r="E67" s="20"/>
      <c r="F67" s="20"/>
    </row>
    <row r="68" spans="1:6" ht="8.4" customHeight="1" x14ac:dyDescent="0.25"/>
    <row r="69" spans="1:6" ht="14.25" customHeight="1" x14ac:dyDescent="0.25">
      <c r="A69" s="1" t="s">
        <v>91</v>
      </c>
      <c r="B69" s="17" t="s">
        <v>92</v>
      </c>
      <c r="C69" s="18"/>
      <c r="D69" s="18"/>
      <c r="F69" s="3">
        <v>711.96</v>
      </c>
    </row>
    <row r="70" spans="1:6" ht="14.25" customHeight="1" x14ac:dyDescent="0.25">
      <c r="B70" s="21" t="s">
        <v>93</v>
      </c>
      <c r="C70" s="22"/>
      <c r="D70" s="23">
        <v>711.96</v>
      </c>
      <c r="E70" s="20"/>
      <c r="F70" s="20"/>
    </row>
    <row r="71" spans="1:6" ht="8.4" customHeight="1" x14ac:dyDescent="0.25"/>
    <row r="72" spans="1:6" ht="14.25" customHeight="1" x14ac:dyDescent="0.25">
      <c r="A72" s="1" t="s">
        <v>171</v>
      </c>
      <c r="B72" s="17" t="s">
        <v>172</v>
      </c>
      <c r="C72" s="18"/>
      <c r="D72" s="18"/>
      <c r="F72" s="3">
        <v>1000</v>
      </c>
    </row>
    <row r="73" spans="1:6" ht="14.25" customHeight="1" x14ac:dyDescent="0.25">
      <c r="B73" s="21" t="s">
        <v>173</v>
      </c>
      <c r="C73" s="22"/>
      <c r="D73" s="23">
        <v>1000</v>
      </c>
      <c r="E73" s="20"/>
      <c r="F73" s="20"/>
    </row>
    <row r="74" spans="1:6" ht="8.4" customHeight="1" x14ac:dyDescent="0.25"/>
    <row r="75" spans="1:6" ht="14.25" customHeight="1" x14ac:dyDescent="0.25">
      <c r="A75" s="1" t="s">
        <v>94</v>
      </c>
      <c r="B75" s="17" t="s">
        <v>95</v>
      </c>
      <c r="C75" s="18"/>
      <c r="D75" s="18"/>
      <c r="F75" s="3">
        <v>2131.4899999999998</v>
      </c>
    </row>
    <row r="76" spans="1:6" ht="14.25" customHeight="1" x14ac:dyDescent="0.25">
      <c r="A76" s="1" t="s">
        <v>96</v>
      </c>
      <c r="B76" s="17" t="s">
        <v>97</v>
      </c>
      <c r="C76" s="18"/>
      <c r="D76" s="18"/>
      <c r="F76" s="3">
        <v>42582.5</v>
      </c>
    </row>
    <row r="77" spans="1:6" ht="14.25" customHeight="1" x14ac:dyDescent="0.25">
      <c r="B77" s="21" t="s">
        <v>98</v>
      </c>
      <c r="C77" s="22"/>
      <c r="D77" s="23">
        <v>44713.99</v>
      </c>
      <c r="E77" s="20"/>
      <c r="F77" s="20"/>
    </row>
    <row r="78" spans="1:6" ht="8.4" customHeight="1" x14ac:dyDescent="0.25"/>
    <row r="79" spans="1:6" ht="14.25" customHeight="1" x14ac:dyDescent="0.25">
      <c r="A79" s="1" t="s">
        <v>99</v>
      </c>
      <c r="B79" s="17" t="s">
        <v>100</v>
      </c>
      <c r="C79" s="18"/>
      <c r="D79" s="18"/>
      <c r="F79" s="3">
        <v>6365.86</v>
      </c>
    </row>
    <row r="80" spans="1:6" ht="17.25" customHeight="1" x14ac:dyDescent="0.25">
      <c r="B80" s="21" t="s">
        <v>101</v>
      </c>
      <c r="C80" s="22"/>
      <c r="D80" s="23">
        <v>6365.86</v>
      </c>
      <c r="E80" s="20"/>
      <c r="F80" s="20"/>
    </row>
    <row r="81" spans="1:6" ht="14.25" customHeight="1" x14ac:dyDescent="0.25">
      <c r="A81" s="21" t="s">
        <v>102</v>
      </c>
      <c r="B81" s="22"/>
      <c r="C81" s="22"/>
      <c r="D81" s="24">
        <v>577928.22</v>
      </c>
      <c r="E81" s="20"/>
      <c r="F81" s="20"/>
    </row>
    <row r="82" spans="1:6" ht="11.4" customHeight="1" x14ac:dyDescent="0.25"/>
    <row r="83" spans="1:6" ht="11.4" customHeight="1" x14ac:dyDescent="0.25">
      <c r="C83" s="19" t="s">
        <v>174</v>
      </c>
      <c r="D83" s="20"/>
      <c r="E83" s="20"/>
      <c r="F83" s="20"/>
    </row>
    <row r="84" spans="1:6" ht="14.25" customHeight="1" x14ac:dyDescent="0.25"/>
  </sheetData>
  <mergeCells count="83">
    <mergeCell ref="A81:C81"/>
    <mergeCell ref="D81:F81"/>
    <mergeCell ref="C83:F83"/>
    <mergeCell ref="B73:C73"/>
    <mergeCell ref="D73:F73"/>
    <mergeCell ref="B75:D75"/>
    <mergeCell ref="B79:D79"/>
    <mergeCell ref="B80:C80"/>
    <mergeCell ref="D80:F80"/>
    <mergeCell ref="B19:D19"/>
    <mergeCell ref="B45:D45"/>
    <mergeCell ref="B46:C46"/>
    <mergeCell ref="D46:F46"/>
    <mergeCell ref="B60:D60"/>
    <mergeCell ref="B61:C61"/>
    <mergeCell ref="D61:F61"/>
    <mergeCell ref="B76:D76"/>
    <mergeCell ref="B77:C77"/>
    <mergeCell ref="D77:F77"/>
    <mergeCell ref="B72:D72"/>
    <mergeCell ref="B69:D69"/>
    <mergeCell ref="B70:C70"/>
    <mergeCell ref="D70:F70"/>
    <mergeCell ref="B63:D63"/>
    <mergeCell ref="B64:D64"/>
    <mergeCell ref="B65:D65"/>
    <mergeCell ref="B66:D66"/>
    <mergeCell ref="B67:C67"/>
    <mergeCell ref="D67:F67"/>
    <mergeCell ref="B57:D57"/>
    <mergeCell ref="B58:D58"/>
    <mergeCell ref="B59:D59"/>
    <mergeCell ref="B50:D50"/>
    <mergeCell ref="B51:D51"/>
    <mergeCell ref="B52:D52"/>
    <mergeCell ref="B53:D53"/>
    <mergeCell ref="B54:D54"/>
    <mergeCell ref="B55:D55"/>
    <mergeCell ref="B44:D44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3:D13"/>
    <mergeCell ref="B14:D14"/>
    <mergeCell ref="B17:D17"/>
    <mergeCell ref="B15:C15"/>
    <mergeCell ref="D15:F15"/>
    <mergeCell ref="B18:D18"/>
    <mergeCell ref="B7:D7"/>
    <mergeCell ref="B8:D8"/>
    <mergeCell ref="B9:D9"/>
    <mergeCell ref="B10:D10"/>
    <mergeCell ref="B11:D11"/>
    <mergeCell ref="B12:D12"/>
    <mergeCell ref="B1:D1"/>
    <mergeCell ref="B2:D2"/>
    <mergeCell ref="B3:D3"/>
    <mergeCell ref="B4:D4"/>
    <mergeCell ref="B5:C5"/>
    <mergeCell ref="D5:F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9.5546875" bestFit="1" customWidth="1"/>
    <col min="2" max="2" width="49.109375" bestFit="1" customWidth="1"/>
    <col min="3" max="7" width="12.109375" bestFit="1" customWidth="1"/>
  </cols>
  <sheetData>
    <row r="1" spans="1:7" x14ac:dyDescent="0.25">
      <c r="A1" s="15" t="s">
        <v>157</v>
      </c>
      <c r="B1" s="15" t="s">
        <v>108</v>
      </c>
      <c r="C1" s="16" t="s">
        <v>104</v>
      </c>
      <c r="D1" s="16" t="s">
        <v>105</v>
      </c>
      <c r="E1" s="16" t="s">
        <v>106</v>
      </c>
      <c r="F1" s="16" t="s">
        <v>107</v>
      </c>
      <c r="G1" s="16" t="s">
        <v>158</v>
      </c>
    </row>
    <row r="2" spans="1:7" ht="13.2" customHeight="1" x14ac:dyDescent="0.25">
      <c r="A2" t="s">
        <v>0</v>
      </c>
      <c r="B2" s="5" t="s">
        <v>1</v>
      </c>
      <c r="C2" s="7">
        <f>SUMIF('JAN-2018'!A1:A200,"4.01.0001",'JAN-2018'!F1:F200)</f>
        <v>154440.47</v>
      </c>
      <c r="D2" s="7">
        <f>SUMIF('FEV-2018'!A1:A200,"4.01.0001",'FEV-2018'!F1:F200)</f>
        <v>95338.03</v>
      </c>
      <c r="E2" s="7">
        <f>SUMIF('MAR-2018'!A1:A200,"4.01.0001",'MAR-2018'!F1:F200)</f>
        <v>269871.96999999997</v>
      </c>
      <c r="F2" s="7">
        <f>SUMIF('ABR-2018'!A1:A200,"4.01.0001",'ABR-2018'!F1:F200)</f>
        <v>459074.33</v>
      </c>
      <c r="G2" s="7">
        <f>SUMIF('MAI-2018'!A1:A200,"4.01.0001",'MAI-2018'!F1:F200)</f>
        <v>193245.07</v>
      </c>
    </row>
    <row r="3" spans="1:7" x14ac:dyDescent="0.25">
      <c r="A3" t="s">
        <v>2</v>
      </c>
      <c r="B3" s="4" t="s">
        <v>3</v>
      </c>
      <c r="C3" s="8">
        <f>SUMIF('JAN-2018'!A1:A200,"4.01.0003",'JAN-2018'!F1:F200)</f>
        <v>31366.16</v>
      </c>
      <c r="D3" s="8">
        <f>SUMIF('FEV-2018'!A1:A200,"4.01.0003",'FEV-2018'!F1:F200)</f>
        <v>15920.35</v>
      </c>
      <c r="E3" s="8">
        <f>SUMIF('MAR-2018'!A1:A200,"4.01.0003",'MAR-2018'!F1:F200)</f>
        <v>14694.64</v>
      </c>
      <c r="F3" s="8">
        <f>SUMIF('ABR-2018'!A1:A200,"4.01.0003",'ABR-2018'!F1:F200)</f>
        <v>14599.65</v>
      </c>
      <c r="G3" s="8">
        <f>SUMIF('MAI-2018'!A1:A200,"4.01.0003",'MAI-2018'!F1:F200)</f>
        <v>8202</v>
      </c>
    </row>
    <row r="4" spans="1:7" x14ac:dyDescent="0.25">
      <c r="A4" t="s">
        <v>4</v>
      </c>
      <c r="B4" s="4" t="s">
        <v>5</v>
      </c>
      <c r="C4" s="8">
        <f>SUMIF('JAN-2018'!A1:A200,"4.01.0011",'JAN-2018'!F1:F200)</f>
        <v>3162.35</v>
      </c>
      <c r="D4" s="8">
        <f>SUMIF('FEV-2018'!A1:A200,"4.01.0011",'FEV-2018'!F1:F200)</f>
        <v>13399.74</v>
      </c>
      <c r="E4" s="8">
        <f>SUMIF('MAR-2018'!A1:A200,"4.01.0011",'MAR-2018'!F1:F200)</f>
        <v>1370.95</v>
      </c>
      <c r="F4" s="8">
        <f>SUMIF('ABR-2018'!A1:A200,"4.01.0011",'ABR-2018'!F1:F200)</f>
        <v>9946.48</v>
      </c>
      <c r="G4" s="8">
        <f>SUMIF('MAI-2018'!A1:A200,"4.01.0011",'MAI-2018'!F1:F200)</f>
        <v>5842.67</v>
      </c>
    </row>
    <row r="5" spans="1:7" x14ac:dyDescent="0.25">
      <c r="A5" t="s">
        <v>6</v>
      </c>
      <c r="B5" s="4" t="s">
        <v>7</v>
      </c>
      <c r="C5" s="8">
        <f>SUMIF('JAN-2018'!A1:A200,"4.01.0013",'JAN-2018'!F1:F200)</f>
        <v>61252.91</v>
      </c>
      <c r="D5" s="8">
        <f>SUMIF('FEV-2018'!A1:A200,"4.01.0013",'FEV-2018'!F1:F200)</f>
        <v>61483.39</v>
      </c>
      <c r="E5" s="8">
        <f>SUMIF('MAR-2018'!A1:A200,"4.01.0013",'MAR-2018'!F1:F200)</f>
        <v>68945.070000000007</v>
      </c>
      <c r="F5" s="8">
        <f>SUMIF('ABR-2018'!A1:A200,"4.01.0013",'ABR-2018'!F1:F200)</f>
        <v>72441.3</v>
      </c>
      <c r="G5" s="8">
        <f>SUMIF('MAI-2018'!A1:A200,"4.01.0013",'MAI-2018'!F1:F200)</f>
        <v>57845.69</v>
      </c>
    </row>
    <row r="6" spans="1:7" s="14" customFormat="1" x14ac:dyDescent="0.25">
      <c r="B6" s="12" t="s">
        <v>8</v>
      </c>
      <c r="C6" s="13">
        <f>SUM(C2:C5)</f>
        <v>250221.89</v>
      </c>
      <c r="D6" s="13">
        <f>SUM(D2:D5)</f>
        <v>186141.51</v>
      </c>
      <c r="E6" s="13">
        <f>SUM(E2:E5)</f>
        <v>354882.63</v>
      </c>
      <c r="F6" s="13">
        <f>SUM(F2:F5)</f>
        <v>556061.76</v>
      </c>
      <c r="G6" s="13">
        <f>SUM(G2:G5)</f>
        <v>265135.43000000005</v>
      </c>
    </row>
    <row r="7" spans="1:7" s="14" customFormat="1" x14ac:dyDescent="0.25">
      <c r="B7" s="12"/>
      <c r="C7" s="13"/>
      <c r="D7" s="13"/>
      <c r="E7" s="13"/>
      <c r="F7" s="13"/>
      <c r="G7" s="13"/>
    </row>
    <row r="8" spans="1:7" x14ac:dyDescent="0.25">
      <c r="A8" s="15" t="s">
        <v>157</v>
      </c>
      <c r="B8" s="15" t="s">
        <v>108</v>
      </c>
      <c r="C8" s="16" t="s">
        <v>104</v>
      </c>
      <c r="D8" s="16" t="s">
        <v>105</v>
      </c>
      <c r="E8" s="16" t="s">
        <v>106</v>
      </c>
      <c r="F8" s="16" t="s">
        <v>107</v>
      </c>
      <c r="G8" s="16" t="s">
        <v>158</v>
      </c>
    </row>
    <row r="9" spans="1:7" x14ac:dyDescent="0.25">
      <c r="A9" s="4" t="s">
        <v>9</v>
      </c>
      <c r="B9" s="4" t="s">
        <v>10</v>
      </c>
      <c r="C9" s="8">
        <f>SUMIF('JAN-2018'!A1:A200,"4.02.0001",'JAN-2018'!F1:F200)</f>
        <v>13418.81</v>
      </c>
      <c r="D9" s="8">
        <f>SUMIF('FEV-2018'!A1:A200,"4.02.0001",'FEV-2018'!F1:F200)</f>
        <v>25145.75</v>
      </c>
      <c r="E9" s="8">
        <f>SUMIF('MAR-2018'!A1:A200,"4.02.0001",'MAR-2018'!F1:F200)</f>
        <v>16681.07</v>
      </c>
      <c r="F9" s="8">
        <f>SUMIF('ABR-2018'!A1:A200,"4.02.0001",'ABR-2018'!F1:F200)</f>
        <v>18614.240000000002</v>
      </c>
      <c r="G9" s="8">
        <f>SUMIF('MAI-2018'!A1:A200,"4.02.0001",'MAI-2018'!F1:F200)</f>
        <v>8269.01</v>
      </c>
    </row>
    <row r="10" spans="1:7" x14ac:dyDescent="0.25">
      <c r="A10" s="4" t="s">
        <v>11</v>
      </c>
      <c r="B10" s="4" t="s">
        <v>109</v>
      </c>
      <c r="C10" s="8">
        <f>SUMIF('JAN-2018'!A1:A200,"4.02.0003",'JAN-2018'!F1:F200)</f>
        <v>8693.7800000000007</v>
      </c>
      <c r="D10" s="8">
        <f>SUMIF('FEV-2018'!A1:A200,"4.02.0003",'FEV-2018'!F1:F200)</f>
        <v>6131.27</v>
      </c>
      <c r="E10" s="8">
        <f>SUMIF('MAR-2018'!A1:A200,"4.02.0003",'MAR-2018'!F1:F200)</f>
        <v>5847.18</v>
      </c>
      <c r="F10" s="8">
        <f>SUMIF('ABR-2018'!A1:A200,"4.02.0003",'ABR-2018'!F1:F200)</f>
        <v>16096.11</v>
      </c>
      <c r="G10" s="8">
        <f>SUMIF('MAI-2018'!A1:A200,"4.02.0003",'MAI-2018'!F1:F200)</f>
        <v>12769.98</v>
      </c>
    </row>
    <row r="11" spans="1:7" x14ac:dyDescent="0.25">
      <c r="A11" s="4" t="s">
        <v>13</v>
      </c>
      <c r="B11" s="4" t="s">
        <v>14</v>
      </c>
      <c r="C11" s="8">
        <f>SUMIF('JAN-2018'!A1:A200,"4.02.0006",'JAN-2018'!F1:F200)</f>
        <v>432.24</v>
      </c>
      <c r="D11" s="8">
        <f>SUMIF('FEV-2018'!A1:A200,"4.02.0006",'FEV-2018'!F1:F200)</f>
        <v>3692.82</v>
      </c>
      <c r="E11" s="8">
        <f>SUMIF('MAR-2018'!A1:A200,"4.02.0006",'MAR-2018'!F1:F200)</f>
        <v>1720</v>
      </c>
      <c r="F11" s="8">
        <f>SUMIF('ABR-2018'!A1:A200,"4.02.0006",'ABR-2018'!F1:F200)</f>
        <v>2799.98</v>
      </c>
      <c r="G11" s="8">
        <f>SUMIF('MAI-2018'!A1:A200,"4.02.0006",'MAI-2018'!F1:F200)</f>
        <v>815</v>
      </c>
    </row>
    <row r="12" spans="1:7" x14ac:dyDescent="0.25">
      <c r="A12" s="4" t="s">
        <v>111</v>
      </c>
      <c r="B12" t="s">
        <v>112</v>
      </c>
      <c r="C12" s="8">
        <f>SUMIF('JAN-2018'!A1:A200,"4.02.0010",'JAN-2018'!F1:F200)</f>
        <v>0</v>
      </c>
      <c r="D12" s="8">
        <f>SUMIF('FEV-2018'!A1:A200,"4.02.0010",'FEV-2018'!F1:F200)</f>
        <v>83.49</v>
      </c>
      <c r="E12" s="8">
        <f>SUMIF('MAR-2018'!A1:A200,"4.02.0010",'MAR-2018'!F1:F200)</f>
        <v>0</v>
      </c>
      <c r="F12" s="8">
        <f>SUMIF('ABR-2018'!A1:A200,"4.02.0010",'ABR-2018'!F1:F200)</f>
        <v>953.61</v>
      </c>
      <c r="G12" s="8">
        <f>SUMIF('MAI-2018'!A1:A200,"4.02.0010",'MAI-2018'!F1:F200)</f>
        <v>0</v>
      </c>
    </row>
    <row r="13" spans="1:7" x14ac:dyDescent="0.25">
      <c r="A13" s="4" t="s">
        <v>125</v>
      </c>
      <c r="B13" t="s">
        <v>126</v>
      </c>
      <c r="C13" s="8">
        <f>SUMIF('JAN-2018'!A1:A200,"4.02.0011",'JAN-2018'!F1:F200)</f>
        <v>0</v>
      </c>
      <c r="D13" s="8">
        <f>SUMIF('FEV-2018'!A1:A200,"4.02.0011",'FEV-2018'!F1:F200)</f>
        <v>0</v>
      </c>
      <c r="E13" s="8">
        <f>SUMIF('MAR-2018'!A1:A200,"4.02.0011",'MAR-2018'!F1:F200)</f>
        <v>0</v>
      </c>
      <c r="F13" s="8">
        <f>SUMIF('ABR-2018'!A1:A200,"4.02.0011",'ABR-2018'!F1:F200)</f>
        <v>461.2</v>
      </c>
      <c r="G13" s="8">
        <f>SUMIF('MAI-2018'!A1:A200,"4.02.0011",'MAI-2018'!F1:F200)</f>
        <v>0</v>
      </c>
    </row>
    <row r="14" spans="1:7" x14ac:dyDescent="0.25">
      <c r="A14" s="4" t="s">
        <v>127</v>
      </c>
      <c r="B14" s="4" t="s">
        <v>128</v>
      </c>
      <c r="C14" s="8">
        <f>SUMIF('JAN-2018'!A1:A200,"4.02.0012",'JAN-2018'!F1:F200)</f>
        <v>0</v>
      </c>
      <c r="D14" s="8">
        <f>SUMIF('FEV-2018'!A1:A200,"4.02.0012",'FEV-2018'!F1:F200)</f>
        <v>0</v>
      </c>
      <c r="E14" s="8">
        <f>SUMIF('MAR-2018'!A1:A200,"4.02.0012",'MAR-2018'!F1:F200)</f>
        <v>0</v>
      </c>
      <c r="F14" s="8">
        <f>SUMIF('ABR-2018'!A1:A200,"4.02.0012",'ABR-2018'!F1:F200)</f>
        <v>1116.23</v>
      </c>
      <c r="G14" s="8">
        <f>SUMIF('MAI-2018'!A1:A200,"4.02.0012",'MAI-2018'!F1:F200)</f>
        <v>50</v>
      </c>
    </row>
    <row r="15" spans="1:7" x14ac:dyDescent="0.25">
      <c r="A15" s="4" t="s">
        <v>15</v>
      </c>
      <c r="B15" t="s">
        <v>16</v>
      </c>
      <c r="C15" s="8">
        <f>SUMIF('JAN-2018'!A1:A200,"4.02.0014",'JAN-2018'!F1:F200)</f>
        <v>2881.05</v>
      </c>
      <c r="D15" s="8">
        <f>SUMIF('FEV-2018'!A1:A200,"4.02.0014",'FEV-2018'!F1:F200)</f>
        <v>2319.54</v>
      </c>
      <c r="E15" s="8">
        <f>SUMIF('MAR-2018'!A1:A200,"4.02.0014",'MAR-2018'!F1:F200)</f>
        <v>2319.54</v>
      </c>
      <c r="F15" s="8">
        <f>SUMIF('ABR-2018'!A1:A200,"4.02.0014",'ABR-2018'!F1:F200)</f>
        <v>2319.54</v>
      </c>
      <c r="G15" s="8">
        <f>SUMIF('MAI-2018'!A1:A200,"4.02.0014",'MAI-2018'!F1:F200)</f>
        <v>2319.54</v>
      </c>
    </row>
    <row r="16" spans="1:7" x14ac:dyDescent="0.25">
      <c r="A16" s="4" t="s">
        <v>17</v>
      </c>
      <c r="B16" s="4" t="s">
        <v>156</v>
      </c>
      <c r="C16" s="8">
        <f>SUMIF('JAN-2018'!A1:A200,"4.02.0015",'JAN-2018'!F1:F200)</f>
        <v>300</v>
      </c>
      <c r="D16" s="8">
        <f>SUMIF('FEV-2018'!A1:A200,"4.02.0015",'FEV-2018'!F1:F200)</f>
        <v>300</v>
      </c>
      <c r="E16" s="8">
        <f>SUMIF('MAR-2018'!A1:A200,"4.02.0015",'MAR-2018'!F1:F200)</f>
        <v>0</v>
      </c>
      <c r="F16" s="8">
        <f>SUMIF('ABR-2018'!A1:A200,"4.02.0015",'ABR-2018'!F1:F200)</f>
        <v>0</v>
      </c>
      <c r="G16" s="8">
        <f>SUMIF('MAI-2018'!A1:A200,"4.02.0015",'MAI-2018'!F1:F200)</f>
        <v>0</v>
      </c>
    </row>
    <row r="17" spans="1:7" x14ac:dyDescent="0.25">
      <c r="A17" s="4" t="s">
        <v>129</v>
      </c>
      <c r="B17" t="s">
        <v>130</v>
      </c>
      <c r="C17" s="8">
        <f>SUMIF('JAN-2018'!A1:A200,"4.02.0016",'JAN-2018'!F1:F200)</f>
        <v>0</v>
      </c>
      <c r="D17" s="8">
        <f>SUMIF('FEV-2018'!A1:A200,"4.02.0016",'FEV-2018'!F1:F200)</f>
        <v>0</v>
      </c>
      <c r="E17" s="8">
        <f>SUMIF('MAR-2018'!A1:A200,"4.02.0016",'MAR-2018'!F1:F200)</f>
        <v>0</v>
      </c>
      <c r="F17" s="8">
        <f>SUMIF('ABR-2018'!A1:A200,"4.02.0016",'ABR-2018'!F1:F200)</f>
        <v>2496.42</v>
      </c>
      <c r="G17" s="8">
        <f>SUMIF('MAI-2018'!A1:A200,"4.02.0016",'MAI-2018'!F1:F200)</f>
        <v>1447.92</v>
      </c>
    </row>
    <row r="18" spans="1:7" x14ac:dyDescent="0.25">
      <c r="A18" s="4" t="s">
        <v>131</v>
      </c>
      <c r="B18" t="s">
        <v>132</v>
      </c>
      <c r="C18" s="8">
        <f>SUMIF('JAN-2018'!A1:A200,"4.02.0017",'JAN-2018'!F1:F200)</f>
        <v>0</v>
      </c>
      <c r="D18" s="8">
        <f>SUMIF('FEV-2018'!A1:A200,"4.02.0017",'FEV-2018'!F1:F200)</f>
        <v>0</v>
      </c>
      <c r="E18" s="8">
        <f>SUMIF('MAR-2018'!A1:A200,"4.02.0017",'MAR-2018'!F1:F200)</f>
        <v>0</v>
      </c>
      <c r="F18" s="8">
        <f>SUMIF('ABR-2018'!A1:A200,"4.02.0017",'ABR-2018'!F1:F200)</f>
        <v>3</v>
      </c>
      <c r="G18" s="8">
        <f>SUMIF('MAI-2018'!A1:A200,"4.02.0017",'MAI-2018'!F1:F200)</f>
        <v>162</v>
      </c>
    </row>
    <row r="19" spans="1:7" x14ac:dyDescent="0.25">
      <c r="A19" s="4" t="s">
        <v>133</v>
      </c>
      <c r="B19" t="s">
        <v>134</v>
      </c>
      <c r="C19" s="8">
        <f>SUMIF('JAN-2018'!A1:A200,"4.02.0029",'JAN-2018'!F1:F200)</f>
        <v>0</v>
      </c>
      <c r="D19" s="8">
        <f>SUMIF('FEV-2018'!A1:A200,"4.02.0029",'FEV-2018'!F1:F200)</f>
        <v>0</v>
      </c>
      <c r="E19" s="8">
        <f>SUMIF('MAR-2018'!A1:A200,"4.02.0029",'MAR-2018'!F1:F200)</f>
        <v>0</v>
      </c>
      <c r="F19" s="8">
        <f>SUMIF('ABR-2018'!A1:A200,"4.02.0029",'ABR-2018'!F1:F200)</f>
        <v>279.98</v>
      </c>
      <c r="G19" s="8">
        <f>SUMIF('MAI-2018'!A1:A200,"4.02.0029",'MAI-2018'!F1:F200)</f>
        <v>0</v>
      </c>
    </row>
    <row r="20" spans="1:7" x14ac:dyDescent="0.25">
      <c r="A20" s="4" t="s">
        <v>19</v>
      </c>
      <c r="B20" t="s">
        <v>20</v>
      </c>
      <c r="C20" s="8">
        <f>SUMIF('JAN-2018'!A1:A200,"4.02.0033",'JAN-2018'!F1:F200)</f>
        <v>6227.54</v>
      </c>
      <c r="D20" s="8">
        <f>SUMIF('FEV-2018'!A1:A200,"4.02.0033",'FEV-2018'!F1:F200)</f>
        <v>9281</v>
      </c>
      <c r="E20" s="8">
        <f>SUMIF('MAR-2018'!A1:A200,"4.02.0033",'MAR-2018'!F1:F200)</f>
        <v>11751.23</v>
      </c>
      <c r="F20" s="8">
        <f>SUMIF('ABR-2018'!A1:A200,"4.02.0033",'ABR-2018'!F1:F200)</f>
        <v>11000</v>
      </c>
      <c r="G20" s="8">
        <f>SUMIF('MAI-2018'!A1:A200,"4.02.0033",'MAI-2018'!F1:F200)</f>
        <v>8810</v>
      </c>
    </row>
    <row r="21" spans="1:7" s="12" customFormat="1" x14ac:dyDescent="0.25">
      <c r="B21" s="12" t="s">
        <v>21</v>
      </c>
      <c r="C21" s="13">
        <f>SUM(C9:C20)</f>
        <v>31953.420000000002</v>
      </c>
      <c r="D21" s="13">
        <f>SUM(D9:D20)</f>
        <v>46953.87</v>
      </c>
      <c r="E21" s="13">
        <f>SUM(E9:E20)</f>
        <v>38319.020000000004</v>
      </c>
      <c r="F21" s="13">
        <f>SUM(F9:F20)</f>
        <v>56140.310000000012</v>
      </c>
      <c r="G21" s="13">
        <f>SUM(G9:G20)</f>
        <v>34643.449999999997</v>
      </c>
    </row>
    <row r="22" spans="1:7" x14ac:dyDescent="0.25">
      <c r="B22" s="4"/>
      <c r="C22" s="8"/>
      <c r="D22" s="8"/>
      <c r="E22" s="8"/>
      <c r="F22" s="8"/>
      <c r="G22" s="8"/>
    </row>
    <row r="23" spans="1:7" x14ac:dyDescent="0.25">
      <c r="A23" s="15" t="s">
        <v>157</v>
      </c>
      <c r="B23" s="15" t="s">
        <v>108</v>
      </c>
      <c r="C23" s="16" t="s">
        <v>104</v>
      </c>
      <c r="D23" s="16" t="s">
        <v>105</v>
      </c>
      <c r="E23" s="16" t="s">
        <v>106</v>
      </c>
      <c r="F23" s="16" t="s">
        <v>107</v>
      </c>
      <c r="G23" s="16" t="s">
        <v>158</v>
      </c>
    </row>
    <row r="24" spans="1:7" x14ac:dyDescent="0.25">
      <c r="A24" s="4" t="s">
        <v>22</v>
      </c>
      <c r="B24" s="4" t="s">
        <v>23</v>
      </c>
      <c r="C24" s="8">
        <f>SUMIF('JAN-2018'!A1:A200,"4.04.0001",'JAN-2018'!F1:F200)</f>
        <v>16512.060000000001</v>
      </c>
      <c r="D24" s="8">
        <f>SUMIF('FEV-2018'!A1:A200,"4.04.0001",'FEV-2018'!F1:F200)</f>
        <v>25671.3</v>
      </c>
      <c r="E24" s="8">
        <f>SUMIF('MAR-2018'!A1:A200,"4.04.0001",'MAR-2018'!F1:F200)</f>
        <v>16737.900000000001</v>
      </c>
      <c r="F24" s="8">
        <f>SUMIF('ABR-2018'!A1:A200,"4.04.0001",'ABR-2018'!F1:F200)</f>
        <v>2603.7199999999998</v>
      </c>
      <c r="G24" s="8">
        <f>SUMIF('MAI-2018'!A1:A200,"4.04.0001",'MAI-2018'!F1:F200)</f>
        <v>31278.78</v>
      </c>
    </row>
    <row r="25" spans="1:7" x14ac:dyDescent="0.25">
      <c r="A25" s="4" t="s">
        <v>24</v>
      </c>
      <c r="B25" s="4" t="s">
        <v>25</v>
      </c>
      <c r="C25" s="8">
        <f>SUMIF('JAN-2018'!A1:A200,"4.04.0004",'JAN-2018'!F1:F200)</f>
        <v>117</v>
      </c>
      <c r="D25" s="8">
        <f>SUMIF('FEV-2018'!A1:A200,"4.04.0004",'FEV-2018'!F1:F200)</f>
        <v>117</v>
      </c>
      <c r="E25" s="8">
        <f>SUMIF('MAR-2018'!A1:A200,"4.04.0004",'MAR-2018'!F1:F200)</f>
        <v>117</v>
      </c>
      <c r="F25" s="8">
        <f>SUMIF('ABR-2018'!A1:A200,"4.04.0004",'ABR-2018'!F1:F200)</f>
        <v>175.5</v>
      </c>
      <c r="G25" s="8">
        <f>SUMIF('MAI-2018'!A1:A200,"4.04.0004",'MAI-2018'!F1:F200)</f>
        <v>175.6</v>
      </c>
    </row>
    <row r="26" spans="1:7" x14ac:dyDescent="0.25">
      <c r="A26" s="4" t="s">
        <v>26</v>
      </c>
      <c r="B26" t="s">
        <v>27</v>
      </c>
      <c r="C26" s="8">
        <f>SUMIF('JAN-2018'!A1:A200,"4.04.0005",'JAN-2018'!F1:F200)</f>
        <v>3820.74</v>
      </c>
      <c r="D26" s="8">
        <f>SUMIF('FEV-2018'!A1:A200,"4.04.0005",'FEV-2018'!F1:F200)</f>
        <v>4069.47</v>
      </c>
      <c r="E26" s="8">
        <f>SUMIF('MAR-2018'!A1:A200,"4.04.0005",'MAR-2018'!F1:F200)</f>
        <v>5325.15</v>
      </c>
      <c r="F26" s="8">
        <f>SUMIF('ABR-2018'!A1:A200,"4.04.0005",'ABR-2018'!F1:F200)</f>
        <v>6359.71</v>
      </c>
      <c r="G26" s="8">
        <f>SUMIF('MAI-2018'!A1:A200,"4.04.0005",'MAI-2018'!F1:F200)</f>
        <v>5191.3500000000004</v>
      </c>
    </row>
    <row r="27" spans="1:7" x14ac:dyDescent="0.25">
      <c r="A27" s="4" t="s">
        <v>28</v>
      </c>
      <c r="B27" t="s">
        <v>29</v>
      </c>
      <c r="C27" s="8">
        <f>SUMIF('JAN-2018'!A1:A200,"4.04.0006",'JAN-2018'!F1:F200)</f>
        <v>329.47</v>
      </c>
      <c r="D27" s="8">
        <f>SUMIF('FEV-2018'!A1:A200,"4.04.0006",'FEV-2018'!F1:F200)</f>
        <v>568.67999999999995</v>
      </c>
      <c r="E27" s="8">
        <f>SUMIF('MAR-2018'!A1:A200,"4.04.0006",'MAR-2018'!F1:F200)</f>
        <v>568.67999999999995</v>
      </c>
      <c r="F27" s="8">
        <f>SUMIF('ABR-2018'!A1:A200,"4.04.0006",'ABR-2018'!F1:F200)</f>
        <v>610.65</v>
      </c>
      <c r="G27" s="8">
        <f>SUMIF('MAI-2018'!A1:A200,"4.04.0006",'MAI-2018'!F1:F200)</f>
        <v>526.70000000000005</v>
      </c>
    </row>
    <row r="28" spans="1:7" x14ac:dyDescent="0.25">
      <c r="A28" s="4" t="s">
        <v>30</v>
      </c>
      <c r="B28" t="s">
        <v>31</v>
      </c>
      <c r="C28" s="8">
        <f>SUMIF('JAN-2018'!A1:A200,"4.04.0008",'JAN-2018'!F1:F200)</f>
        <v>85</v>
      </c>
      <c r="D28" s="8">
        <f>SUMIF('FEV-2018'!A1:A200,"4.04.0008",'FEV-2018'!F1:F200)</f>
        <v>119</v>
      </c>
      <c r="E28" s="8">
        <f>SUMIF('MAR-2018'!A1:A200,"4.04.0008",'MAR-2018'!F1:F200)</f>
        <v>119</v>
      </c>
      <c r="F28" s="8">
        <f>SUMIF('ABR-2018'!A1:A200,"4.04.0008",'ABR-2018'!F1:F200)</f>
        <v>102</v>
      </c>
      <c r="G28" s="8">
        <f>SUMIF('MAI-2018'!A1:A200,"4.04.0008",'MAI-2018'!F1:F200)</f>
        <v>136</v>
      </c>
    </row>
    <row r="29" spans="1:7" x14ac:dyDescent="0.25">
      <c r="A29" s="4" t="s">
        <v>32</v>
      </c>
      <c r="B29" t="s">
        <v>33</v>
      </c>
      <c r="C29" s="8">
        <f>SUMIF('JAN-2018'!A1:A200,"4.04.0009",'JAN-2018'!F1:F200)</f>
        <v>1636.18</v>
      </c>
      <c r="D29" s="8">
        <f>SUMIF('FEV-2018'!A1:A200,"4.04.0009",'FEV-2018'!F1:F200)</f>
        <v>749.44</v>
      </c>
      <c r="E29" s="8">
        <f>SUMIF('MAR-2018'!A1:A200,"4.04.0009",'MAR-2018'!F1:F200)</f>
        <v>1174.5</v>
      </c>
      <c r="F29" s="8">
        <f>SUMIF('ABR-2018'!A1:A200,"4.04.0009",'ABR-2018'!F1:F200)</f>
        <v>624.30999999999995</v>
      </c>
      <c r="G29" s="8">
        <f>SUMIF('MAI-2018'!A1:A200,"4.04.0009",'MAI-2018'!F1:F200)</f>
        <v>1122.3900000000001</v>
      </c>
    </row>
    <row r="30" spans="1:7" x14ac:dyDescent="0.25">
      <c r="A30" s="4" t="s">
        <v>135</v>
      </c>
      <c r="B30" t="s">
        <v>136</v>
      </c>
      <c r="C30" s="8">
        <f>SUMIF('JAN-2018'!A1:A200,"4.04.0010",'JAN-2018'!F1:F200)</f>
        <v>0</v>
      </c>
      <c r="D30" s="8">
        <f>SUMIF('FEV-2018'!A1:A200,"4.04.0010",'FEV-2018'!F1:F200)</f>
        <v>0</v>
      </c>
      <c r="E30" s="8">
        <f>SUMIF('MAR-2018'!A1:A200,"4.04.0010",'MAR-2018'!F1:F200)</f>
        <v>0</v>
      </c>
      <c r="F30" s="8">
        <f>SUMIF('ABR-2018'!A1:A200,"4.04.0010",'ABR-2018'!F1:F200)</f>
        <v>272.8</v>
      </c>
      <c r="G30" s="8">
        <f>SUMIF('MAI-2018'!A1:A200,"4.04.0010",'MAI-2018'!F1:F200)</f>
        <v>272.8</v>
      </c>
    </row>
    <row r="31" spans="1:7" x14ac:dyDescent="0.25">
      <c r="A31" s="4" t="s">
        <v>34</v>
      </c>
      <c r="B31" t="s">
        <v>35</v>
      </c>
      <c r="C31" s="8">
        <f>SUMIF('JAN-2018'!A1:A200,"4.04.0011",'JAN-2018'!F1:F200)</f>
        <v>150</v>
      </c>
      <c r="D31" s="8">
        <f>SUMIF('FEV-2018'!A1:A200,"4.04.0011",'FEV-2018'!F1:F200)</f>
        <v>664.44</v>
      </c>
      <c r="E31" s="8">
        <f>SUMIF('MAR-2018'!A1:A200,"4.04.0011",'MAR-2018'!F1:F200)</f>
        <v>1422.2</v>
      </c>
      <c r="F31" s="8">
        <f>SUMIF('ABR-2018'!A1:A200,"4.04.0011",'ABR-2018'!F1:F200)</f>
        <v>153.47999999999999</v>
      </c>
      <c r="G31" s="8">
        <f>SUMIF('MAI-2018'!A1:A200,"4.04.0011",'MAI-2018'!F1:F200)</f>
        <v>573.29999999999995</v>
      </c>
    </row>
    <row r="32" spans="1:7" x14ac:dyDescent="0.25">
      <c r="A32" s="4" t="s">
        <v>36</v>
      </c>
      <c r="B32" t="s">
        <v>37</v>
      </c>
      <c r="C32" s="8">
        <f>SUMIF('JAN-2018'!A1:A200,"4.04.0012",'JAN-2018'!F1:F200)</f>
        <v>7171</v>
      </c>
      <c r="D32" s="8">
        <f>SUMIF('FEV-2018'!A1:A200,"4.04.0012",'FEV-2018'!F1:F200)</f>
        <v>10193.5</v>
      </c>
      <c r="E32" s="8">
        <f>SUMIF('MAR-2018'!A1:A200,"4.04.0012",'MAR-2018'!F1:F200)</f>
        <v>7043</v>
      </c>
      <c r="F32" s="8">
        <f>SUMIF('ABR-2018'!A1:A200,"4.04.0012",'ABR-2018'!F1:F200)</f>
        <v>4208</v>
      </c>
      <c r="G32" s="8">
        <f>SUMIF('MAI-2018'!A1:A200,"4.04.0012",'MAI-2018'!F1:F200)</f>
        <v>4064</v>
      </c>
    </row>
    <row r="33" spans="1:7" x14ac:dyDescent="0.25">
      <c r="A33" s="4" t="s">
        <v>38</v>
      </c>
      <c r="B33" s="4" t="s">
        <v>39</v>
      </c>
      <c r="C33" s="8">
        <f>SUMIF('JAN-2018'!A1:A200,"4.04.0013",'JAN-2018'!F1:F200)</f>
        <v>1690</v>
      </c>
      <c r="D33" s="8">
        <f>SUMIF('FEV-2018'!A1:A200,"4.04.0013",'FEV-2018'!F1:F200)</f>
        <v>1866.82</v>
      </c>
      <c r="E33" s="8">
        <f>SUMIF('MAR-2018'!A1:A200,"4.04.0013",'MAR-2018'!F1:F200)</f>
        <v>2140</v>
      </c>
      <c r="F33" s="8">
        <f>SUMIF('ABR-2018'!A1:A200,"4.04.0013",'ABR-2018'!F1:F200)</f>
        <v>2411.4</v>
      </c>
      <c r="G33" s="8">
        <f>SUMIF('MAI-2018'!A1:A200,"4.04.0013",'MAI-2018'!F1:F200)</f>
        <v>1218.3599999999999</v>
      </c>
    </row>
    <row r="34" spans="1:7" x14ac:dyDescent="0.25">
      <c r="A34" s="4" t="s">
        <v>40</v>
      </c>
      <c r="B34" t="s">
        <v>41</v>
      </c>
      <c r="C34" s="8">
        <f>SUMIF('JAN-2018'!A1:A200,"4.04.0015",'JAN-2018'!F1:F200)</f>
        <v>1121.4000000000001</v>
      </c>
      <c r="D34" s="8">
        <f>SUMIF('FEV-2018'!A1:A200,"4.04.0015",'FEV-2018'!F1:F200)</f>
        <v>677.16</v>
      </c>
      <c r="E34" s="8">
        <f>SUMIF('MAR-2018'!A1:A200,"4.04.0015",'MAR-2018'!F1:F200)</f>
        <v>406.5</v>
      </c>
      <c r="F34" s="8">
        <f>SUMIF('ABR-2018'!A1:A200,"4.04.0015",'ABR-2018'!F1:F200)</f>
        <v>240.65</v>
      </c>
      <c r="G34" s="8">
        <f>SUMIF('MAI-2018'!A1:A200,"4.04.0015",'MAI-2018'!F1:F200)</f>
        <v>0</v>
      </c>
    </row>
    <row r="35" spans="1:7" x14ac:dyDescent="0.25">
      <c r="A35" s="4" t="s">
        <v>120</v>
      </c>
      <c r="B35" t="s">
        <v>121</v>
      </c>
      <c r="C35" s="8">
        <f>SUMIF('JAN-2018'!A1:A200,"4.04.0016",'JAN-2018'!F1:F200)</f>
        <v>0</v>
      </c>
      <c r="D35" s="8">
        <f>SUMIF('FEV-2018'!A1:A200,"4.04.0016",'FEV-2018'!F1:F200)</f>
        <v>0</v>
      </c>
      <c r="E35" s="8">
        <f>SUMIF('MAR-2018'!A1:A200,"4.04.0016",'MAR-2018'!F1:F200)</f>
        <v>502.8</v>
      </c>
      <c r="F35" s="8">
        <f>SUMIF('ABR-2018'!A1:A200,"4.04.0016",'ABR-2018'!F1:F200)</f>
        <v>826.5</v>
      </c>
      <c r="G35" s="8">
        <f>SUMIF('MAI-2018'!A1:A200,"4.04.0016",'MAI-2018'!F1:F200)</f>
        <v>352.6</v>
      </c>
    </row>
    <row r="36" spans="1:7" x14ac:dyDescent="0.25">
      <c r="A36" s="4" t="s">
        <v>42</v>
      </c>
      <c r="B36" s="4" t="s">
        <v>43</v>
      </c>
      <c r="C36" s="8">
        <f>SUMIF('JAN-2018'!A1:A200,"4.04.0021",'JAN-2018'!F1:F200)</f>
        <v>1486</v>
      </c>
      <c r="D36" s="8">
        <f>SUMIF('FEV-2018'!A1:A200,"4.04.0021",'FEV-2018'!F1:F200)</f>
        <v>0</v>
      </c>
      <c r="E36" s="8">
        <f>SUMIF('MAR-2018'!A1:A200,"4.04.0021",'MAR-2018'!F1:F200)</f>
        <v>0</v>
      </c>
      <c r="F36" s="8">
        <f>SUMIF('ABR-2018'!A1:A200,"4.04.0021",'ABR-2018'!F1:F200)</f>
        <v>0</v>
      </c>
      <c r="G36" s="8">
        <f>SUMIF('MAI-2018'!A1:A200,"4.04.0021",'MAI-2018'!F1:F200)</f>
        <v>0</v>
      </c>
    </row>
    <row r="37" spans="1:7" s="4" customFormat="1" x14ac:dyDescent="0.25">
      <c r="A37" s="4" t="s">
        <v>137</v>
      </c>
      <c r="B37" s="4" t="s">
        <v>138</v>
      </c>
      <c r="C37" s="9">
        <f>SUMIF('JAN-2018'!A1:A200,"4.04.0023",'JAN-2018'!F1:F200)</f>
        <v>0</v>
      </c>
      <c r="D37" s="9">
        <f>SUMIF('FEV-2018'!A1:A200,"4.04.0023",'FEV-2018'!F1:F200)</f>
        <v>0</v>
      </c>
      <c r="E37" s="9">
        <f>SUMIF('MAR-2018'!A1:A200,"4.04.0023",'MAR-2018'!F1:F200)</f>
        <v>0</v>
      </c>
      <c r="F37" s="9">
        <f>SUMIF('ABR-2018'!A1:A200,"4.04.0023",'ABR-2018'!F1:F200)</f>
        <v>110</v>
      </c>
      <c r="G37" s="9">
        <f>SUMIF('MAI-2018'!A1:A200,"4.04.0023",'MAI-2018'!F1:F200)</f>
        <v>288</v>
      </c>
    </row>
    <row r="38" spans="1:7" x14ac:dyDescent="0.25">
      <c r="A38" s="4" t="s">
        <v>44</v>
      </c>
      <c r="B38" t="s">
        <v>45</v>
      </c>
      <c r="C38" s="8">
        <f>SUMIF('JAN-2018'!A1:A200,"4.04.0025",'JAN-2018'!F1:F200)</f>
        <v>15650</v>
      </c>
      <c r="D38" s="8">
        <f>SUMIF('FEV-2018'!A1:A200,"4.04.0025",'FEV-2018'!F1:F200)</f>
        <v>18900</v>
      </c>
      <c r="E38" s="8">
        <f>SUMIF('MAR-2018'!A1:A200,"4.04.0025",'MAR-2018'!F1:F200)</f>
        <v>57275</v>
      </c>
      <c r="F38" s="8">
        <f>SUMIF('ABR-2018'!A1:A200,"4.04.0025",'ABR-2018'!F1:F200)</f>
        <v>45948</v>
      </c>
      <c r="G38" s="8">
        <f>SUMIF('MAI-2018'!A1:A200,"4.04.0025",'MAI-2018'!F1:F200)</f>
        <v>40549.519999999997</v>
      </c>
    </row>
    <row r="39" spans="1:7" x14ac:dyDescent="0.25">
      <c r="A39" s="4" t="s">
        <v>139</v>
      </c>
      <c r="B39" t="s">
        <v>140</v>
      </c>
      <c r="C39" s="8">
        <f>SUMIF('JAN-2018'!A1:A200,"4.04.0027",'JAN-2018'!F1:F200)</f>
        <v>0</v>
      </c>
      <c r="D39" s="8">
        <f>SUMIF('FEV-2018'!A1:A200,"4.04.0027",'FEV-2018'!F1:F200)</f>
        <v>0</v>
      </c>
      <c r="E39" s="8">
        <f>SUMIF('MAR-2018'!A1:A200,"4.04.0027",'MAR-2018'!F1:F200)</f>
        <v>0</v>
      </c>
      <c r="F39" s="8">
        <f>SUMIF('ABR-2018'!A1:A200,"4.04.0027",'ABR-2018'!F1:F200)</f>
        <v>45</v>
      </c>
      <c r="G39" s="8">
        <f>SUMIF('MAI-2018'!A1:A200,"4.04.0027",'MAI-2018'!F1:F200)</f>
        <v>0</v>
      </c>
    </row>
    <row r="40" spans="1:7" x14ac:dyDescent="0.25">
      <c r="A40" s="4" t="s">
        <v>141</v>
      </c>
      <c r="B40" t="s">
        <v>142</v>
      </c>
      <c r="C40" s="8">
        <f>SUMIF('JAN-2018'!A1:A200,"4.04.0029",'JAN-2018'!F1:F200)</f>
        <v>0</v>
      </c>
      <c r="D40" s="8">
        <f>SUMIF('FEV-2018'!A1:A200,"4.04.0029",'FEV-2018'!F1:F200)</f>
        <v>0</v>
      </c>
      <c r="E40" s="8">
        <f>SUMIF('MAR-2018'!A1:A200,"4.04.0029",'MAR-2018'!F1:F200)</f>
        <v>0</v>
      </c>
      <c r="F40" s="8">
        <f>SUMIF('ABR-2018'!A1:A200,"4.04.0029",'ABR-2018'!F1:F200)</f>
        <v>70.569999999999993</v>
      </c>
      <c r="G40" s="8">
        <f>SUMIF('MAI-2018'!A1:A200,"4.04.0029",'MAI-2018'!F1:F200)</f>
        <v>70.08</v>
      </c>
    </row>
    <row r="41" spans="1:7" x14ac:dyDescent="0.25">
      <c r="A41" s="4" t="s">
        <v>46</v>
      </c>
      <c r="B41" t="s">
        <v>47</v>
      </c>
      <c r="C41" s="8">
        <f>SUMIF('JAN-2018'!A1:A200,"4.04.0031",'JAN-2018'!F1:F200)</f>
        <v>120</v>
      </c>
      <c r="D41" s="8">
        <f>SUMIF('FEV-2018'!A1:A200,"4.04.0031",'FEV-2018'!F1:F200)</f>
        <v>1320</v>
      </c>
      <c r="E41" s="8">
        <f>SUMIF('MAR-2018'!A1:A200,"4.04.0031",'MAR-2018'!F1:F200)</f>
        <v>1820</v>
      </c>
      <c r="F41" s="8">
        <f>SUMIF('ABR-2018'!A1:A200,"4.04.0031",'ABR-2018'!F1:F200)</f>
        <v>1364.39</v>
      </c>
      <c r="G41" s="8">
        <f>SUMIF('MAI-2018'!A1:A200,"4.04.0031",'MAI-2018'!F1:F200)</f>
        <v>1320</v>
      </c>
    </row>
    <row r="42" spans="1:7" x14ac:dyDescent="0.25">
      <c r="A42" s="4" t="s">
        <v>143</v>
      </c>
      <c r="B42" t="s">
        <v>144</v>
      </c>
      <c r="C42" s="8">
        <f>SUMIF('JAN-2018'!A1:A200,"4.04.0032",'JAN-2018'!F1:F200)</f>
        <v>0</v>
      </c>
      <c r="D42" s="8">
        <f>SUMIF('FEV-2018'!A1:A200,"4.04.0032",'FEV-2018'!F1:F200)</f>
        <v>0</v>
      </c>
      <c r="E42" s="8">
        <f>SUMIF('MAR-2018'!A1:A200,"4.04.0032",'MAR-2018'!F1:F200)</f>
        <v>0</v>
      </c>
      <c r="F42" s="8">
        <f>SUMIF('ABR-2018'!A1:A200,"4.04.0032",'ABR-2018'!F1:F200)</f>
        <v>902.72</v>
      </c>
      <c r="G42" s="8">
        <f>SUMIF('MAI-2018'!A1:A200,"4.04.0032",'MAI-2018'!F1:F200)</f>
        <v>1445.9</v>
      </c>
    </row>
    <row r="43" spans="1:7" x14ac:dyDescent="0.25">
      <c r="A43" s="4" t="s">
        <v>48</v>
      </c>
      <c r="B43" t="s">
        <v>49</v>
      </c>
      <c r="C43" s="8">
        <f>SUMIF('JAN-2018'!A1:A200,"4.04.0033",'JAN-2018'!F1:F200)</f>
        <v>3287</v>
      </c>
      <c r="D43" s="8">
        <f>SUMIF('FEV-2018'!A1:A200,"4.04.0033",'FEV-2018'!F1:F200)</f>
        <v>3447</v>
      </c>
      <c r="E43" s="8">
        <f>SUMIF('MAR-2018'!A1:A200,"4.04.0033",'MAR-2018'!F1:F200)</f>
        <v>3617</v>
      </c>
      <c r="F43" s="8">
        <f>SUMIF('ABR-2018'!A1:A200,"4.04.0033",'ABR-2018'!F1:F200)</f>
        <v>3447</v>
      </c>
      <c r="G43" s="8">
        <f>SUMIF('MAI-2018'!A1:A200,"4.04.0033",'MAI-2018'!F1:F200)</f>
        <v>4487</v>
      </c>
    </row>
    <row r="44" spans="1:7" x14ac:dyDescent="0.25">
      <c r="A44" s="4" t="s">
        <v>145</v>
      </c>
      <c r="B44" t="s">
        <v>146</v>
      </c>
      <c r="C44" s="8">
        <f>SUMIF('JAN-2018'!A1:A200,"4.04.0034",'JAN-2018'!F1:F200)</f>
        <v>0</v>
      </c>
      <c r="D44" s="8">
        <f>SUMIF('FEV-2018'!A1:A200,"4.04.0034",'FEV-2018'!F1:F200)</f>
        <v>0</v>
      </c>
      <c r="E44" s="8">
        <f>SUMIF('MAR-2018'!A1:A200,"4.04.0034",'MAR-2018'!F1:F200)</f>
        <v>0</v>
      </c>
      <c r="F44" s="8">
        <f>SUMIF('ABR-2018'!A1:A200,"4.04.0034",'ABR-2018'!F1:F200)</f>
        <v>558.63</v>
      </c>
      <c r="G44" s="8">
        <f>SUMIF('MAI-2018'!A1:A200,"4.04.0034",'MAI-2018'!F1:F200)</f>
        <v>244.1</v>
      </c>
    </row>
    <row r="45" spans="1:7" x14ac:dyDescent="0.25">
      <c r="A45" s="4" t="s">
        <v>113</v>
      </c>
      <c r="B45" t="s">
        <v>114</v>
      </c>
      <c r="C45" s="8">
        <f>SUMIF('JAN-2018'!A1:A200,"4.04.0035",'JAN-2018'!F1:F200)</f>
        <v>0</v>
      </c>
      <c r="D45" s="8">
        <f>SUMIF('FEV-2018'!A1:A200,"4.04.0035",'FEV-2018'!F1:F200)</f>
        <v>1008.88</v>
      </c>
      <c r="E45" s="8">
        <f>SUMIF('MAR-2018'!A1:A200,"4.04.0035",'MAR-2018'!F1:F200)</f>
        <v>0</v>
      </c>
      <c r="F45" s="8">
        <f>SUMIF('ABR-2018'!A1:A200,"4.04.0035",'ABR-2018'!F1:F200)</f>
        <v>0</v>
      </c>
      <c r="G45" s="8">
        <f>SUMIF('MAI-2018'!A1:A200,"4.04.0035",'MAI-2018'!F1:F200)</f>
        <v>1039.68</v>
      </c>
    </row>
    <row r="46" spans="1:7" x14ac:dyDescent="0.25">
      <c r="A46" s="4" t="s">
        <v>50</v>
      </c>
      <c r="B46" s="4" t="s">
        <v>51</v>
      </c>
      <c r="C46" s="8">
        <f>SUMIF('JAN-2018'!A1:A200,"4.04.0041",'JAN-2018'!F1:F200)</f>
        <v>3270</v>
      </c>
      <c r="D46" s="8">
        <f>SUMIF('FEV-2018'!A1:A200,"4.04.0041",'FEV-2018'!F1:F200)</f>
        <v>3270</v>
      </c>
      <c r="E46" s="8">
        <f>SUMIF('MAR-2018'!A1:A200,"4.04.0041",'MAR-2018'!F1:F200)</f>
        <v>3270</v>
      </c>
      <c r="F46" s="8">
        <f>SUMIF('ABR-2018'!A1:A200,"4.04.0041",'ABR-2018'!F1:F200)</f>
        <v>0</v>
      </c>
      <c r="G46" s="8">
        <f>SUMIF('MAI-2018'!A1:A200,"4.04.0041",'MAI-2018'!F1:F200)</f>
        <v>360</v>
      </c>
    </row>
    <row r="47" spans="1:7" x14ac:dyDescent="0.25">
      <c r="A47" s="4" t="s">
        <v>52</v>
      </c>
      <c r="B47" t="s">
        <v>53</v>
      </c>
      <c r="C47" s="8">
        <f>SUMIF('JAN-2018'!A1:A200,"4.04.0042",'JAN-2018'!F1:F200)</f>
        <v>1449</v>
      </c>
      <c r="D47" s="8">
        <f>SUMIF('FEV-2018'!A1:A200,"4.04.0042",'FEV-2018'!F1:F200)</f>
        <v>861.83</v>
      </c>
      <c r="E47" s="8">
        <f>SUMIF('MAR-2018'!A1:A200,"4.04.0042",'MAR-2018'!F1:F200)</f>
        <v>881.57</v>
      </c>
      <c r="F47" s="8">
        <f>SUMIF('ABR-2018'!A1:A200,"4.04.0042",'ABR-2018'!F1:F200)</f>
        <v>1047.9000000000001</v>
      </c>
      <c r="G47" s="8">
        <f>SUMIF('MAI-2018'!A1:A200,"4.04.0042",'MAI-2018'!F1:F200)</f>
        <v>654.96</v>
      </c>
    </row>
    <row r="48" spans="1:7" x14ac:dyDescent="0.25">
      <c r="A48" s="4" t="s">
        <v>54</v>
      </c>
      <c r="B48" s="4" t="s">
        <v>110</v>
      </c>
      <c r="C48" s="8">
        <f>SUMIF('JAN-2018'!A1:A200,"4.04.0044",'JAN-2018'!F1:F200)</f>
        <v>450</v>
      </c>
      <c r="D48" s="8">
        <f>SUMIF('FEV-2018'!A1:A200,"4.04.0044",'FEV-2018'!F1:F200)</f>
        <v>523.5</v>
      </c>
      <c r="E48" s="8">
        <f>SUMIF('MAR-2018'!A1:A200,"4.04.0044",'MAR-2018'!F1:F200)</f>
        <v>2068.75</v>
      </c>
      <c r="F48" s="8">
        <f>SUMIF('ABR-2018'!A1:A200,"4.04.0044",'ABR-2018'!F1:F200)</f>
        <v>4149.55</v>
      </c>
      <c r="G48" s="8">
        <f>SUMIF('MAI-2018'!A1:A200,"4.04.0044",'MAI-2018'!F1:F200)</f>
        <v>1408.79</v>
      </c>
    </row>
    <row r="49" spans="1:7" x14ac:dyDescent="0.25">
      <c r="A49" s="4" t="s">
        <v>56</v>
      </c>
      <c r="B49" t="s">
        <v>57</v>
      </c>
      <c r="C49" s="8">
        <f>SUMIF('JAN-2018'!A1:A200,"4.04.0048",'JAN-2018'!F1:F200)</f>
        <v>150.30000000000001</v>
      </c>
      <c r="D49" s="8">
        <f>SUMIF('FEV-2018'!A1:A200,"4.04.0048",'FEV-2018'!F1:F200)</f>
        <v>434.9</v>
      </c>
      <c r="E49" s="8">
        <f>SUMIF('MAR-2018'!A1:A200,"4.04.0048",'MAR-2018'!F1:F200)</f>
        <v>840.95</v>
      </c>
      <c r="F49" s="8">
        <f>SUMIF('ABR-2018'!A1:A200,"4.04.0048",'ABR-2018'!F1:F200)</f>
        <v>108.7</v>
      </c>
      <c r="G49" s="8">
        <f>SUMIF('MAI-2018'!A1:A200,"4.04.0048",'MAI-2018'!F1:F200)</f>
        <v>760.7</v>
      </c>
    </row>
    <row r="50" spans="1:7" s="4" customFormat="1" x14ac:dyDescent="0.25">
      <c r="A50" s="4" t="s">
        <v>147</v>
      </c>
      <c r="B50" s="4" t="s">
        <v>148</v>
      </c>
      <c r="C50" s="9">
        <f>SUMIF('JAN-2018'!A1:A200,"4.04.0053",'JAN-2018'!F1:F200)</f>
        <v>0</v>
      </c>
      <c r="D50" s="9">
        <f>SUMIF('FEV-2018'!A1:A200,"4.04.0053",'FEV-2018'!F1:F200)</f>
        <v>0</v>
      </c>
      <c r="E50" s="9">
        <f>SUMIF('MAR-2018'!A1:A200,"4.04.0053",'MAR-2018'!F1:F200)</f>
        <v>0</v>
      </c>
      <c r="F50" s="9">
        <f>SUMIF('ABR-2018'!A1:A200,"4.04.0053",'ABR-2018'!F1:F200)</f>
        <v>755</v>
      </c>
      <c r="G50" s="9">
        <f>SUMIF('MAI-2018'!A1:A200,"4.04.0053",'MAI-2018'!F1:F200)</f>
        <v>0</v>
      </c>
    </row>
    <row r="51" spans="1:7" x14ac:dyDescent="0.25">
      <c r="A51" s="4" t="s">
        <v>58</v>
      </c>
      <c r="B51" t="s">
        <v>59</v>
      </c>
      <c r="C51" s="8">
        <f>SUMIF('JAN-2018'!A1:A200,"4.04.0054",'JAN-2018'!F1:F200)</f>
        <v>9474.08</v>
      </c>
      <c r="D51" s="8">
        <f>SUMIF('FEV-2018'!A1:A200,"4.04.0054",'FEV-2018'!F1:F200)</f>
        <v>8758.7900000000009</v>
      </c>
      <c r="E51" s="8">
        <f>SUMIF('MAR-2018'!A1:A200,"4.04.0054",'MAR-2018'!F1:F200)</f>
        <v>5767.13</v>
      </c>
      <c r="F51" s="8">
        <f>SUMIF('ABR-2018'!A1:A200,"4.04.0054",'ABR-2018'!F1:F200)</f>
        <v>111</v>
      </c>
      <c r="G51" s="8">
        <f>SUMIF('MAI-2018'!A1:A200,"4.04.0054",'MAI-2018'!F1:F200)</f>
        <v>6481.55</v>
      </c>
    </row>
    <row r="52" spans="1:7" s="12" customFormat="1" x14ac:dyDescent="0.25">
      <c r="B52" s="12" t="s">
        <v>60</v>
      </c>
      <c r="C52" s="13">
        <f t="shared" ref="C52:F52" si="0">SUM(C24:C51)</f>
        <v>67969.23000000001</v>
      </c>
      <c r="D52" s="13">
        <f t="shared" si="0"/>
        <v>83221.709999999992</v>
      </c>
      <c r="E52" s="13">
        <f t="shared" si="0"/>
        <v>111097.13000000002</v>
      </c>
      <c r="F52" s="13">
        <f t="shared" si="0"/>
        <v>77207.180000000008</v>
      </c>
      <c r="G52" s="13">
        <f t="shared" ref="G52" si="1">SUM(G24:G51)</f>
        <v>104022.15999999999</v>
      </c>
    </row>
    <row r="53" spans="1:7" x14ac:dyDescent="0.25">
      <c r="C53" s="8"/>
      <c r="D53" s="8"/>
      <c r="E53" s="8"/>
      <c r="F53" s="8"/>
      <c r="G53" s="8"/>
    </row>
    <row r="54" spans="1:7" x14ac:dyDescent="0.25">
      <c r="A54" s="15" t="s">
        <v>157</v>
      </c>
      <c r="B54" s="15" t="s">
        <v>108</v>
      </c>
      <c r="C54" s="16" t="s">
        <v>104</v>
      </c>
      <c r="D54" s="16" t="s">
        <v>105</v>
      </c>
      <c r="E54" s="16" t="s">
        <v>106</v>
      </c>
      <c r="F54" s="16" t="s">
        <v>107</v>
      </c>
      <c r="G54" s="16" t="s">
        <v>158</v>
      </c>
    </row>
    <row r="55" spans="1:7" x14ac:dyDescent="0.25">
      <c r="A55" s="4" t="s">
        <v>61</v>
      </c>
      <c r="B55" s="4" t="s">
        <v>62</v>
      </c>
      <c r="C55" s="8">
        <f>SUMIF('JAN-2018'!A1:A200,"4.05.0001",'JAN-2018'!F1:F200)</f>
        <v>45720.19</v>
      </c>
      <c r="D55" s="8">
        <f>SUMIF('FEV-2018'!A1:A200,"4.05.0001",'FEV-2018'!F1:F200)</f>
        <v>40387.160000000003</v>
      </c>
      <c r="E55" s="8">
        <f>SUMIF('MAR-2018'!A1:A200,"4.05.0001",'MAR-2018'!F1:F200)</f>
        <v>39695.74</v>
      </c>
      <c r="F55" s="8">
        <f>SUMIF('ABR-2018'!A1:A200,"4.05.0001",'ABR-2018'!F1:F200)</f>
        <v>32756.05</v>
      </c>
      <c r="G55" s="8">
        <f>SUMIF('MAI-2018'!A1:A200,"4.05.0001",'MAI-2018'!F1:F200)</f>
        <v>34380.19</v>
      </c>
    </row>
    <row r="56" spans="1:7" x14ac:dyDescent="0.25">
      <c r="A56" s="4" t="s">
        <v>63</v>
      </c>
      <c r="B56" s="4" t="s">
        <v>64</v>
      </c>
      <c r="C56" s="8">
        <f>SUMIF('JAN-2018'!A1:A200,"4.05.0002",'JAN-2018'!F1:F200)</f>
        <v>29938.1</v>
      </c>
      <c r="D56" s="8">
        <f>SUMIF('FEV-2018'!A1:A200,"4.05.0002",'FEV-2018'!F1:F200)</f>
        <v>27389.32</v>
      </c>
      <c r="E56" s="8">
        <f>SUMIF('MAR-2018'!A1:A200,"4.05.0002",'MAR-2018'!F1:F200)</f>
        <v>23767.13</v>
      </c>
      <c r="F56" s="8">
        <f>SUMIF('ABR-2018'!A1:A200,"4.05.0002",'ABR-2018'!F1:F200)</f>
        <v>22385.82</v>
      </c>
      <c r="G56" s="8">
        <f>SUMIF('MAI-2018'!A1:A200,"4.05.0002",'MAI-2018'!F1:F200)</f>
        <v>24094.62</v>
      </c>
    </row>
    <row r="57" spans="1:7" x14ac:dyDescent="0.25">
      <c r="A57" s="4" t="s">
        <v>65</v>
      </c>
      <c r="B57" s="4" t="s">
        <v>66</v>
      </c>
      <c r="C57" s="8">
        <f>SUMIF('JAN-2018'!A1:A200,"4.05.0004",'JAN-2018'!F1:F200)</f>
        <v>3510.9</v>
      </c>
      <c r="D57" s="8">
        <f>SUMIF('FEV-2018'!A1:A200,"4.05.0004",'FEV-2018'!F1:F200)</f>
        <v>8601</v>
      </c>
      <c r="E57" s="8">
        <f>SUMIF('MAR-2018'!A1:A200,"4.05.0004",'MAR-2018'!F1:F200)</f>
        <v>10048.15</v>
      </c>
      <c r="F57" s="8">
        <f>SUMIF('ABR-2018'!A1:A200,"4.05.0004",'ABR-2018'!F1:F200)</f>
        <v>11285.23</v>
      </c>
      <c r="G57" s="8">
        <f>SUMIF('MAI-2018'!A1:A200,"4.05.0004",'MAI-2018'!F1:F200)</f>
        <v>4852.84</v>
      </c>
    </row>
    <row r="58" spans="1:7" x14ac:dyDescent="0.25">
      <c r="A58" s="4" t="s">
        <v>67</v>
      </c>
      <c r="B58" s="4" t="s">
        <v>68</v>
      </c>
      <c r="C58" s="8">
        <f>SUMIF('JAN-2018'!A1:A200,"4.05.0005",'JAN-2018'!F1:F200)</f>
        <v>0</v>
      </c>
      <c r="D58" s="8">
        <f>SUMIF('FEV-2018'!A1:A200,"4.05.0005",'FEV-2018'!F1:F200)</f>
        <v>5302.65</v>
      </c>
      <c r="E58" s="8">
        <f>SUMIF('MAR-2018'!A1:A200,"4.05.0005",'MAR-2018'!F1:F200)</f>
        <v>14448.2</v>
      </c>
      <c r="F58" s="8">
        <f>SUMIF('ABR-2018'!A1:A200,"4.05.0005",'ABR-2018'!F1:F200)</f>
        <v>4011.94</v>
      </c>
      <c r="G58" s="8">
        <f>SUMIF('MAI-2018'!A1:A200,"4.05.0005",'MAI-2018'!F1:F200)</f>
        <v>1000</v>
      </c>
    </row>
    <row r="59" spans="1:7" x14ac:dyDescent="0.25">
      <c r="A59" s="4" t="s">
        <v>115</v>
      </c>
      <c r="B59" s="4" t="s">
        <v>116</v>
      </c>
      <c r="C59" s="8">
        <f>SUMIF('JAN-2018'!A1:A200,"4.05.0006",'JAN-2018'!F1:F200)</f>
        <v>0</v>
      </c>
      <c r="D59" s="8">
        <f>SUMIF('FEV-2018'!A1:A200,"4.05.0006",'FEV-2018'!F1:F200)</f>
        <v>14738.81</v>
      </c>
      <c r="E59" s="8">
        <f>SUMIF('MAR-2018'!A1:A200,"4.05.0006",'MAR-2018'!F1:F200)</f>
        <v>5690.41</v>
      </c>
      <c r="F59" s="8">
        <f>SUMIF('ABR-2018'!A1:A200,"4.05.0006",'ABR-2018'!F1:F200)</f>
        <v>4707.07</v>
      </c>
      <c r="G59" s="8">
        <f>SUMIF('MAI-2018'!A1:A200,"4.05.0006",'MAI-2018'!F1:F200)</f>
        <v>4354.12</v>
      </c>
    </row>
    <row r="60" spans="1:7" x14ac:dyDescent="0.25">
      <c r="A60" s="4" t="s">
        <v>69</v>
      </c>
      <c r="B60" s="4" t="s">
        <v>70</v>
      </c>
      <c r="C60" s="8">
        <f>SUMIF('JAN-2018'!A1:A200,"4.05.0007",'JAN-2018'!F1:F200)</f>
        <v>1072.9100000000001</v>
      </c>
      <c r="D60" s="8">
        <f>SUMIF('FEV-2018'!A1:A200,"4.05.0007",'FEV-2018'!F1:F200)</f>
        <v>7528.19</v>
      </c>
      <c r="E60" s="8">
        <f>SUMIF('MAR-2018'!A1:A200,"4.05.0007",'MAR-2018'!F1:F200)</f>
        <v>1083.5</v>
      </c>
      <c r="F60" s="8">
        <f>SUMIF('ABR-2018'!A1:A200,"4.05.0007",'ABR-2018'!F1:F200)</f>
        <v>1088.55</v>
      </c>
      <c r="G60" s="8">
        <f>SUMIF('MAI-2018'!A1:A200,"4.05.0007",'MAI-2018'!F1:F200)</f>
        <v>1094.08</v>
      </c>
    </row>
    <row r="61" spans="1:7" x14ac:dyDescent="0.25">
      <c r="A61" s="4" t="s">
        <v>117</v>
      </c>
      <c r="B61" s="4" t="s">
        <v>118</v>
      </c>
      <c r="C61" s="8">
        <f>SUMIF('JAN-2018'!A1:A200,"4.05.0011",'JAN-2018'!F1:F200)</f>
        <v>0</v>
      </c>
      <c r="D61" s="8">
        <f>SUMIF('FEV-2018'!A1:A200,"4.05.0011",'FEV-2018'!F1:F200)</f>
        <v>150</v>
      </c>
      <c r="E61" s="8">
        <f>SUMIF('MAR-2018'!A1:A200,"4.05.0011",'MAR-2018'!F1:F200)</f>
        <v>0</v>
      </c>
      <c r="F61" s="8">
        <f>SUMIF('ABR-2018'!A1:A200,"4.05.0011",'ABR-2018'!F1:F200)</f>
        <v>0</v>
      </c>
      <c r="G61" s="8">
        <f>SUMIF('MAI-2018'!A1:A200,"4.05.0011",'MAI-2018'!F1:F200)</f>
        <v>0</v>
      </c>
    </row>
    <row r="62" spans="1:7" x14ac:dyDescent="0.25">
      <c r="A62" s="4" t="s">
        <v>71</v>
      </c>
      <c r="B62" s="4" t="s">
        <v>72</v>
      </c>
      <c r="C62" s="8">
        <f>SUMIF('JAN-2018'!A1:A200,"4.05.0012",'JAN-2018'!F1:F200)</f>
        <v>4484</v>
      </c>
      <c r="D62" s="8">
        <f>SUMIF('FEV-2018'!A1:A200,"4.05.0012",'FEV-2018'!F1:F200)</f>
        <v>3736</v>
      </c>
      <c r="E62" s="8">
        <f>SUMIF('MAR-2018'!A1:A200,"4.05.0012",'MAR-2018'!F1:F200)</f>
        <v>4416</v>
      </c>
      <c r="F62" s="8">
        <f>SUMIF('ABR-2018'!A1:A200,"4.05.0012",'ABR-2018'!F1:F200)</f>
        <v>3212</v>
      </c>
      <c r="G62" s="8">
        <f>SUMIF('MAI-2018'!A1:A200,"4.05.0012",'MAI-2018'!F1:F200)</f>
        <v>3480</v>
      </c>
    </row>
    <row r="63" spans="1:7" x14ac:dyDescent="0.25">
      <c r="A63" s="4" t="s">
        <v>73</v>
      </c>
      <c r="B63" s="4" t="s">
        <v>74</v>
      </c>
      <c r="C63" s="8">
        <f>SUMIF('JAN-2018'!A1:A200,"4.05.0013",'JAN-2018'!F1:F200)</f>
        <v>2028</v>
      </c>
      <c r="D63" s="8">
        <f>SUMIF('FEV-2018'!A1:A200,"4.05.0013",'FEV-2018'!F1:F200)</f>
        <v>2366</v>
      </c>
      <c r="E63" s="8">
        <f>SUMIF('MAR-2018'!A1:A200,"4.05.0013",'MAR-2018'!F1:F200)</f>
        <v>2197</v>
      </c>
      <c r="F63" s="8">
        <f>SUMIF('ABR-2018'!A1:A200,"4.05.0013",'ABR-2018'!F1:F200)</f>
        <v>1943.5</v>
      </c>
      <c r="G63" s="8">
        <f>SUMIF('MAI-2018'!A1:A200,"4.05.0013",'MAI-2018'!F1:F200)</f>
        <v>2028</v>
      </c>
    </row>
    <row r="64" spans="1:7" x14ac:dyDescent="0.25">
      <c r="A64" s="4" t="s">
        <v>75</v>
      </c>
      <c r="B64" s="4" t="s">
        <v>76</v>
      </c>
      <c r="C64" s="8">
        <f>SUMIF('JAN-2018'!A1:A200,"4.05.0014",'JAN-2018'!F1:F200)</f>
        <v>2810.72</v>
      </c>
      <c r="D64" s="8">
        <f>SUMIF('FEV-2018'!A1:A200,"4.05.0014",'FEV-2018'!F1:F200)</f>
        <v>2828.03</v>
      </c>
      <c r="E64" s="8">
        <f>SUMIF('MAR-2018'!A1:A200,"4.05.0014",'MAR-2018'!F1:F200)</f>
        <v>2580.4899999999998</v>
      </c>
      <c r="F64" s="8">
        <f>SUMIF('ABR-2018'!A1:A200,"4.05.0014",'ABR-2018'!F1:F200)</f>
        <v>2281.63</v>
      </c>
      <c r="G64" s="8">
        <f>SUMIF('MAI-2018'!A1:A200,"4.05.0014",'MAI-2018'!F1:F200)</f>
        <v>2281.63</v>
      </c>
    </row>
    <row r="65" spans="1:7" x14ac:dyDescent="0.25">
      <c r="A65" s="4" t="s">
        <v>122</v>
      </c>
      <c r="B65" s="4" t="s">
        <v>123</v>
      </c>
      <c r="C65" s="8">
        <f>SUMIF('JAN-2018'!A1:A200,"4.05.0019",'JAN-2018'!F1:F200)</f>
        <v>0</v>
      </c>
      <c r="D65" s="8">
        <f>SUMIF('FEV-2018'!A1:A200,"4.05.0019",'FEV-2018'!F1:F200)</f>
        <v>0</v>
      </c>
      <c r="E65" s="8">
        <f>SUMIF('MAR-2018'!A1:A200,"4.05.0019",'MAR-2018'!F1:F200)</f>
        <v>295.26</v>
      </c>
      <c r="F65" s="8">
        <f>SUMIF('ABR-2018'!A1:A200,"4.05.0019",'ABR-2018'!F1:F200)</f>
        <v>0</v>
      </c>
      <c r="G65" s="8">
        <f>SUMIF('MAI-2018'!A1:A200,"4.05.0019",'MAI-2018'!F1:F200)</f>
        <v>0</v>
      </c>
    </row>
    <row r="66" spans="1:7" x14ac:dyDescent="0.25">
      <c r="A66" s="4" t="s">
        <v>77</v>
      </c>
      <c r="B66" s="4" t="s">
        <v>78</v>
      </c>
      <c r="C66" s="8">
        <f>SUMIF('JAN-2018'!A1:A200,"4.05.0025",'JAN-2018'!F1:F200)</f>
        <v>204.16</v>
      </c>
      <c r="D66" s="8">
        <f>SUMIF('FEV-2018'!A1:A200,"4.05.0025",'FEV-2018'!F1:F200)</f>
        <v>204.16</v>
      </c>
      <c r="E66" s="8">
        <f>SUMIF('MAR-2018'!A1:A200,"4.05.0025",'MAR-2018'!F1:F200)</f>
        <v>204.16</v>
      </c>
      <c r="F66" s="8">
        <f>SUMIF('ABR-2018'!A1:A200,"4.05.0025",'ABR-2018'!F1:F200)</f>
        <v>204.16</v>
      </c>
      <c r="G66" s="8">
        <f>SUMIF('MAI-2018'!A1:A200,"4.05.0025",'MAI-2018'!F1:F200)</f>
        <v>350</v>
      </c>
    </row>
    <row r="67" spans="1:7" x14ac:dyDescent="0.25">
      <c r="A67" s="4" t="s">
        <v>149</v>
      </c>
      <c r="B67" s="4" t="s">
        <v>150</v>
      </c>
      <c r="C67" s="8">
        <f>SUMIF('JAN-2018'!A1:A200,"4.05.0028",'JAN-2018'!F1:F200)</f>
        <v>0</v>
      </c>
      <c r="D67" s="8">
        <f>SUMIF('FEV-2018'!A1:A200,"4.05.0028",'FEV-2018'!F1:F200)</f>
        <v>0</v>
      </c>
      <c r="E67" s="8">
        <f>SUMIF('MAR-2018'!A1:A200,"4.05.0028",'MAR-2018'!F1:F200)</f>
        <v>0</v>
      </c>
      <c r="F67" s="8">
        <f>SUMIF('ABR-2018'!A1:A200,"4.05.0028",'ABR-2018'!F1:F200)</f>
        <v>1517.17</v>
      </c>
      <c r="G67" s="8">
        <f>SUMIF('MAI-2018'!A1:A200,"4.05.0028",'MAI-2018'!F1:F200)</f>
        <v>1139.74</v>
      </c>
    </row>
    <row r="68" spans="1:7" x14ac:dyDescent="0.25">
      <c r="A68" s="4" t="s">
        <v>79</v>
      </c>
      <c r="B68" s="4" t="s">
        <v>80</v>
      </c>
      <c r="C68" s="8">
        <f>SUMIF('JAN-2018'!A1:A200,"4.05.0033",'JAN-2018'!F1:F200)</f>
        <v>3012.59</v>
      </c>
      <c r="D68" s="8">
        <f>SUMIF('FEV-2018'!A1:A200,"4.05.0033",'FEV-2018'!F1:F200)</f>
        <v>600.01</v>
      </c>
      <c r="E68" s="8">
        <f>SUMIF('MAR-2018'!A1:A200,"4.05.0033",'MAR-2018'!F1:F200)</f>
        <v>1113.74</v>
      </c>
      <c r="F68" s="8">
        <f>SUMIF('ABR-2018'!A1:A200,"4.05.0033",'ABR-2018'!F1:F200)</f>
        <v>826.26</v>
      </c>
      <c r="G68" s="8">
        <f>SUMIF('MAI-2018'!A1:A200,"4.05.0033",'MAI-2018'!F1:F200)</f>
        <v>460.39</v>
      </c>
    </row>
    <row r="69" spans="1:7" s="12" customFormat="1" x14ac:dyDescent="0.25">
      <c r="B69" s="12" t="s">
        <v>81</v>
      </c>
      <c r="C69" s="13">
        <f>SUM(C55:C68)</f>
        <v>92781.57</v>
      </c>
      <c r="D69" s="13">
        <f>SUM(D55:D68)</f>
        <v>113831.33</v>
      </c>
      <c r="E69" s="13">
        <f>SUM(E55:E68)</f>
        <v>105539.78</v>
      </c>
      <c r="F69" s="13">
        <f>SUM(F55:F68)</f>
        <v>86219.37999999999</v>
      </c>
      <c r="G69" s="13">
        <f>SUM(G55:G68)</f>
        <v>79515.61</v>
      </c>
    </row>
    <row r="70" spans="1:7" x14ac:dyDescent="0.25">
      <c r="B70" s="4"/>
      <c r="C70" s="8"/>
      <c r="D70" s="8"/>
      <c r="E70" s="8"/>
      <c r="F70" s="8"/>
      <c r="G70" s="8"/>
    </row>
    <row r="71" spans="1:7" x14ac:dyDescent="0.25">
      <c r="A71" s="15" t="s">
        <v>157</v>
      </c>
      <c r="B71" s="15" t="s">
        <v>108</v>
      </c>
      <c r="C71" s="16" t="s">
        <v>104</v>
      </c>
      <c r="D71" s="16" t="s">
        <v>105</v>
      </c>
      <c r="E71" s="16" t="s">
        <v>106</v>
      </c>
      <c r="F71" s="16" t="s">
        <v>107</v>
      </c>
      <c r="G71" s="16" t="s">
        <v>158</v>
      </c>
    </row>
    <row r="72" spans="1:7" x14ac:dyDescent="0.25">
      <c r="A72" s="4" t="s">
        <v>82</v>
      </c>
      <c r="B72" s="4" t="s">
        <v>83</v>
      </c>
      <c r="C72" s="8">
        <f>SUMIF('JAN-2018'!A1:A200,"4.06.0002",'JAN-2018'!F1:F200)</f>
        <v>39126.58</v>
      </c>
      <c r="D72" s="8">
        <f>SUMIF('FEV-2018'!A1:A200,"4.06.0002",'FEV-2018'!F1:F200)</f>
        <v>42504.160000000003</v>
      </c>
      <c r="E72" s="8">
        <f>SUMIF('MAR-2018'!A1:A200,"4.06.0002",'MAR-2018'!F1:F200)</f>
        <v>38173.620000000003</v>
      </c>
      <c r="F72" s="8">
        <f>SUMIF('ABR-2018'!A1:A200,"4.06.0002",'ABR-2018'!F1:F200)</f>
        <v>47808.46</v>
      </c>
      <c r="G72" s="8">
        <f>SUMIF('MAI-2018'!A1:A200,"4.06.0002",'MAI-2018'!F1:F200)</f>
        <v>16435.93</v>
      </c>
    </row>
    <row r="73" spans="1:7" x14ac:dyDescent="0.25">
      <c r="A73" s="4" t="s">
        <v>84</v>
      </c>
      <c r="B73" s="4" t="s">
        <v>85</v>
      </c>
      <c r="C73" s="8">
        <f>SUMIF('JAN-2018'!A1:A200,"4.06.0005",'JAN-2018'!F1:F200)</f>
        <v>3040.94</v>
      </c>
      <c r="D73" s="8">
        <f>SUMIF('FEV-2018'!A1:A200,"4.06.0005",'FEV-2018'!F1:F200)</f>
        <v>3188.59</v>
      </c>
      <c r="E73" s="8">
        <f>SUMIF('MAR-2018'!A1:A200,"4.06.0005",'MAR-2018'!F1:F200)</f>
        <v>1412.57</v>
      </c>
      <c r="F73" s="8">
        <f>SUMIF('ABR-2018'!A1:A200,"4.06.0005",'ABR-2018'!F1:F200)</f>
        <v>1534.77</v>
      </c>
      <c r="G73" s="8">
        <f>SUMIF('MAI-2018'!A1:A200,"4.06.0005",'MAI-2018'!F1:F200)</f>
        <v>1075.3399999999999</v>
      </c>
    </row>
    <row r="74" spans="1:7" x14ac:dyDescent="0.25">
      <c r="A74" s="4" t="s">
        <v>86</v>
      </c>
      <c r="B74" s="4" t="s">
        <v>87</v>
      </c>
      <c r="C74" s="8">
        <f>SUMIF('JAN-2018'!A1:A200,"4.06.0006",'JAN-2018'!F1:F200)</f>
        <v>23890.560000000001</v>
      </c>
      <c r="D74" s="8">
        <f>SUMIF('FEV-2018'!A1:A200,"4.06.0006",'FEV-2018'!F1:F200)</f>
        <v>23890.560000000001</v>
      </c>
      <c r="E74" s="8">
        <f>SUMIF('MAR-2018'!A1:A200,"4.06.0006",'MAR-2018'!F1:F200)</f>
        <v>23890.560000000001</v>
      </c>
      <c r="F74" s="8">
        <f>SUMIF('ABR-2018'!A1:A200,"4.06.0006",'ABR-2018'!F1:F200)</f>
        <v>23890.560000000001</v>
      </c>
      <c r="G74" s="8">
        <f>SUMIF('MAI-2018'!A1:A200,"4.06.0006",'MAI-2018'!F1:F200)</f>
        <v>23890.560000000001</v>
      </c>
    </row>
    <row r="75" spans="1:7" x14ac:dyDescent="0.25">
      <c r="A75" s="4" t="s">
        <v>88</v>
      </c>
      <c r="B75" s="4" t="s">
        <v>89</v>
      </c>
      <c r="C75" s="8">
        <f>SUMIF('JAN-2018'!A1:A200,"4.06.0007",'JAN-2018'!F1:F200)</f>
        <v>2053.77</v>
      </c>
      <c r="D75" s="8">
        <f>SUMIF('FEV-2018'!A1:A200,"4.06.0007",'FEV-2018'!F1:F200)</f>
        <v>2316.92</v>
      </c>
      <c r="E75" s="8">
        <f>SUMIF('MAR-2018'!A1:A200,"4.06.0007",'MAR-2018'!F1:F200)</f>
        <v>1851.02</v>
      </c>
      <c r="F75" s="8">
        <f>SUMIF('ABR-2018'!A1:A200,"4.06.0007",'ABR-2018'!F1:F200)</f>
        <v>1281.82</v>
      </c>
      <c r="G75" s="8">
        <f>SUMIF('MAI-2018'!A1:A200,"4.06.0007",'MAI-2018'!F1:F200)</f>
        <v>0</v>
      </c>
    </row>
    <row r="76" spans="1:7" s="12" customFormat="1" x14ac:dyDescent="0.25">
      <c r="B76" s="12" t="s">
        <v>90</v>
      </c>
      <c r="C76" s="13">
        <f>SUM(C72:C75)</f>
        <v>68111.850000000006</v>
      </c>
      <c r="D76" s="13">
        <f>SUM(D72:D75)</f>
        <v>71900.23</v>
      </c>
      <c r="E76" s="13">
        <f>SUM(E72:E75)</f>
        <v>65327.77</v>
      </c>
      <c r="F76" s="13">
        <f>SUM(F72:F75)</f>
        <v>74515.61</v>
      </c>
      <c r="G76" s="13">
        <f>SUM(G72:G75)</f>
        <v>41401.83</v>
      </c>
    </row>
    <row r="77" spans="1:7" x14ac:dyDescent="0.25">
      <c r="B77" s="4"/>
      <c r="C77" s="8"/>
      <c r="D77" s="8"/>
      <c r="E77" s="8"/>
      <c r="F77" s="8"/>
      <c r="G77" s="8"/>
    </row>
    <row r="78" spans="1:7" x14ac:dyDescent="0.25">
      <c r="A78" s="15" t="s">
        <v>157</v>
      </c>
      <c r="B78" s="15" t="s">
        <v>108</v>
      </c>
      <c r="C78" s="16" t="s">
        <v>104</v>
      </c>
      <c r="D78" s="16" t="s">
        <v>105</v>
      </c>
      <c r="E78" s="16" t="s">
        <v>106</v>
      </c>
      <c r="F78" s="16" t="s">
        <v>107</v>
      </c>
      <c r="G78" s="16" t="s">
        <v>158</v>
      </c>
    </row>
    <row r="79" spans="1:7" x14ac:dyDescent="0.25">
      <c r="A79" s="4" t="s">
        <v>91</v>
      </c>
      <c r="B79" s="4" t="s">
        <v>92</v>
      </c>
      <c r="C79" s="8">
        <f>SUMIF('JAN-2018'!A1:A200,"4.07.0001",'JAN-2018'!F1:F200)</f>
        <v>492.18</v>
      </c>
      <c r="D79" s="8">
        <f>SUMIF('FEV-2018'!A1:A200,"4.07.0001",'FEV-2018'!F1:F200)</f>
        <v>4334.58</v>
      </c>
      <c r="E79" s="8">
        <f>SUMIF('MAR-2018'!A1:A200,"4.07.0001",'MAR-2018'!F1:F200)</f>
        <v>0</v>
      </c>
      <c r="F79" s="8">
        <f>SUMIF('ABR-2018'!A1:A200,"4.07.0001",'ABR-2018'!F1:F200)</f>
        <v>0</v>
      </c>
      <c r="G79" s="8">
        <f>SUMIF('MAI-2018'!A1:A200,"4.07.0001",'MAI-2018'!F1:F200)</f>
        <v>711.96</v>
      </c>
    </row>
    <row r="80" spans="1:7" x14ac:dyDescent="0.25">
      <c r="A80" s="4" t="s">
        <v>151</v>
      </c>
      <c r="B80" s="4" t="s">
        <v>152</v>
      </c>
      <c r="C80" s="8">
        <f>SUMIF('JAN-2018'!A1:A200,"4.07.0017",'JAN-2018'!F1:F200)</f>
        <v>0</v>
      </c>
      <c r="D80" s="8">
        <f>SUMIF('FEV-2018'!A1:A200,"4.07.0017",'FEV-2018'!F1:F200)</f>
        <v>0</v>
      </c>
      <c r="E80" s="8">
        <f>SUMIF('MAR-2018'!A1:A200,"4.07.0017",'MAR-2018'!F1:F200)</f>
        <v>0</v>
      </c>
      <c r="F80" s="8">
        <f>SUMIF('ABR-2018'!A1:A200,"4.07.0017",'ABR-2018'!F1:F200)</f>
        <v>156.94999999999999</v>
      </c>
      <c r="G80" s="8">
        <f>SUMIF('MAI-2018'!A1:A200,"4.07.0017",'MAI-2018'!F1:F200)</f>
        <v>0</v>
      </c>
    </row>
    <row r="81" spans="1:7" s="12" customFormat="1" x14ac:dyDescent="0.25">
      <c r="B81" s="12" t="s">
        <v>93</v>
      </c>
      <c r="C81" s="13">
        <f>SUM(C79:C80)</f>
        <v>492.18</v>
      </c>
      <c r="D81" s="13">
        <f>SUM(D79:D80)</f>
        <v>4334.58</v>
      </c>
      <c r="E81" s="13">
        <f>SUM(E79:E80)</f>
        <v>0</v>
      </c>
      <c r="F81" s="13">
        <f>SUM(F79:F80)</f>
        <v>156.94999999999999</v>
      </c>
      <c r="G81" s="13">
        <f>SUM(G79:G80)</f>
        <v>711.96</v>
      </c>
    </row>
    <row r="82" spans="1:7" x14ac:dyDescent="0.25">
      <c r="B82" s="4"/>
      <c r="C82" s="8"/>
      <c r="D82" s="8"/>
      <c r="E82" s="8"/>
      <c r="F82" s="8"/>
      <c r="G82" s="8"/>
    </row>
    <row r="83" spans="1:7" x14ac:dyDescent="0.25">
      <c r="A83" s="15" t="s">
        <v>157</v>
      </c>
      <c r="B83" s="15" t="s">
        <v>108</v>
      </c>
      <c r="C83" s="16" t="s">
        <v>104</v>
      </c>
      <c r="D83" s="16" t="s">
        <v>105</v>
      </c>
      <c r="E83" s="16" t="s">
        <v>106</v>
      </c>
      <c r="F83" s="16" t="s">
        <v>107</v>
      </c>
      <c r="G83" s="16" t="s">
        <v>158</v>
      </c>
    </row>
    <row r="84" spans="1:7" x14ac:dyDescent="0.25">
      <c r="A84" s="4" t="s">
        <v>94</v>
      </c>
      <c r="B84" s="4" t="s">
        <v>95</v>
      </c>
      <c r="C84" s="8">
        <f>SUMIF('JAN-2018'!A1:A200,"4.12.0002",'JAN-2018'!F1:F200)</f>
        <v>2131.4899999999998</v>
      </c>
      <c r="D84" s="8">
        <f>SUMIF('FEV-2018'!A1:A200,"4.12.0002",'FEV-2018'!F1:F200)</f>
        <v>2131.4899999999998</v>
      </c>
      <c r="E84" s="8">
        <f>SUMIF('MAR-2018'!A1:A200,"4.12.0002",'MAR-2018'!F1:F200)</f>
        <v>2131.4899999999998</v>
      </c>
      <c r="F84" s="8">
        <f>SUMIF('ABR-2018'!A1:A200,"4.12.0002",'ABR-2018'!F1:F200)</f>
        <v>2131.4899999999998</v>
      </c>
      <c r="G84" s="8">
        <f>SUMIF('MAI-2018'!A1:A200,"4.12.0002",'MAI-2018'!F1:F200)</f>
        <v>2131.4899999999998</v>
      </c>
    </row>
    <row r="85" spans="1:7" x14ac:dyDescent="0.25">
      <c r="A85" s="4" t="s">
        <v>96</v>
      </c>
      <c r="B85" s="4" t="s">
        <v>97</v>
      </c>
      <c r="C85" s="8">
        <f>SUMIF('JAN-2018'!A1:A200,"4.12.0003",'JAN-2018'!F1:F200)</f>
        <v>53580</v>
      </c>
      <c r="D85" s="8">
        <f>SUMIF('FEV-2018'!A1:A200,"4.12.0003",'FEV-2018'!F1:F200)</f>
        <v>31638.26</v>
      </c>
      <c r="E85" s="8">
        <f>SUMIF('MAR-2018'!A1:A200,"4.12.0003",'MAR-2018'!F1:F200)</f>
        <v>22600</v>
      </c>
      <c r="F85" s="8">
        <f>SUMIF('ABR-2018'!A1:A200,"4.12.0003",'ABR-2018'!F1:F200)</f>
        <v>41861.5</v>
      </c>
      <c r="G85" s="8">
        <f>SUMIF('MAI-2018'!A1:A200,"4.12.0003",'MAI-2018'!F1:F200)</f>
        <v>42582.5</v>
      </c>
    </row>
    <row r="86" spans="1:7" x14ac:dyDescent="0.25">
      <c r="A86" s="4" t="s">
        <v>153</v>
      </c>
      <c r="B86" s="4" t="s">
        <v>154</v>
      </c>
      <c r="C86" s="8">
        <f>SUMIF('JAN-2018'!A1:A200,"4.12.0004",'JAN-2018'!F1:F200)</f>
        <v>0</v>
      </c>
      <c r="D86" s="8">
        <f>SUMIF('FEV-2018'!A1:A200,"4.12.0004",'FEV-2018'!F1:F200)</f>
        <v>0</v>
      </c>
      <c r="E86" s="8">
        <f>SUMIF('MAR-2018'!A1:A200,"4.12.0004",'MAR-2018'!F1:F200)</f>
        <v>0</v>
      </c>
      <c r="F86" s="8">
        <f>SUMIF('ABR-2018'!A1:A200,"4.12.0004",'ABR-2018'!F1:F200)</f>
        <v>150</v>
      </c>
      <c r="G86" s="8">
        <f>SUMIF('MAI-2018'!A1:A200,"4.12.0004",'MAI-2018'!F1:F200)</f>
        <v>0</v>
      </c>
    </row>
    <row r="87" spans="1:7" s="12" customFormat="1" x14ac:dyDescent="0.25">
      <c r="B87" s="12" t="s">
        <v>98</v>
      </c>
      <c r="C87" s="13">
        <f>SUM(C84:C86)</f>
        <v>55711.49</v>
      </c>
      <c r="D87" s="13">
        <f>SUM(D84:D86)</f>
        <v>33769.75</v>
      </c>
      <c r="E87" s="13">
        <f>SUM(E84:E86)</f>
        <v>24731.489999999998</v>
      </c>
      <c r="F87" s="13">
        <f>SUM(F84:F86)</f>
        <v>44142.99</v>
      </c>
      <c r="G87" s="13">
        <f>SUM(G84:G86)</f>
        <v>44713.99</v>
      </c>
    </row>
    <row r="88" spans="1:7" x14ac:dyDescent="0.25">
      <c r="B88" s="4"/>
      <c r="C88" s="8"/>
      <c r="D88" s="8"/>
      <c r="E88" s="8"/>
      <c r="F88" s="8"/>
      <c r="G88" s="8"/>
    </row>
    <row r="89" spans="1:7" x14ac:dyDescent="0.25">
      <c r="A89" s="15" t="s">
        <v>157</v>
      </c>
      <c r="B89" s="15" t="s">
        <v>108</v>
      </c>
      <c r="C89" s="16" t="s">
        <v>104</v>
      </c>
      <c r="D89" s="16" t="s">
        <v>105</v>
      </c>
      <c r="E89" s="16" t="s">
        <v>106</v>
      </c>
      <c r="F89" s="16" t="s">
        <v>107</v>
      </c>
      <c r="G89" s="16" t="s">
        <v>158</v>
      </c>
    </row>
    <row r="90" spans="1:7" x14ac:dyDescent="0.25">
      <c r="A90" s="4" t="s">
        <v>99</v>
      </c>
      <c r="B90" s="4" t="s">
        <v>100</v>
      </c>
      <c r="C90" s="8">
        <f>SUMIF('JAN-2018'!A1:A200,"4.14.0001",'JAN-2018'!F1:F200)</f>
        <v>41096.879999999997</v>
      </c>
      <c r="D90" s="8">
        <f>SUMIF('FEV-2018'!A1:A200,"4.14.0001",'FEV-2018'!F1:F200)</f>
        <v>102723.3</v>
      </c>
      <c r="E90" s="8">
        <f>SUMIF('MAR-2018'!A1:A200,"4.14.0001",'MAR-2018'!F1:F200)</f>
        <v>80790.69</v>
      </c>
      <c r="F90" s="8">
        <f>SUMIF('ABR-2018'!A1:A200,"4.14.0001",'ABR-2018'!F1:F200)</f>
        <v>42332.81</v>
      </c>
      <c r="G90" s="8">
        <f>SUMIF('MAI-2018'!A1:A200,"4.14.0001",'MAI-2018'!F1:F200)</f>
        <v>6365.86</v>
      </c>
    </row>
    <row r="91" spans="1:7" s="6" customFormat="1" x14ac:dyDescent="0.25">
      <c r="B91" s="12" t="s">
        <v>101</v>
      </c>
      <c r="C91" s="13">
        <f>SUM(C90)</f>
        <v>41096.879999999997</v>
      </c>
      <c r="D91" s="13">
        <f>SUM(D90)</f>
        <v>102723.3</v>
      </c>
      <c r="E91" s="13">
        <f>SUM(E90)</f>
        <v>80790.69</v>
      </c>
      <c r="F91" s="13">
        <f>SUM(F90)</f>
        <v>42332.81</v>
      </c>
      <c r="G91" s="13">
        <f>SUM(G90)</f>
        <v>6365.86</v>
      </c>
    </row>
    <row r="92" spans="1:7" x14ac:dyDescent="0.25">
      <c r="B92" s="4"/>
      <c r="C92" s="8"/>
      <c r="D92" s="8"/>
      <c r="E92" s="8"/>
      <c r="F92" s="8"/>
      <c r="G92" s="8"/>
    </row>
    <row r="93" spans="1:7" s="10" customFormat="1" ht="15.6" x14ac:dyDescent="0.3">
      <c r="B93" s="10" t="s">
        <v>102</v>
      </c>
      <c r="C93" s="11">
        <f>C91+C87+C81+C76+C69+C52+C21+C6</f>
        <v>608338.51</v>
      </c>
      <c r="D93" s="11">
        <f>D91+D87+D81+D76+D69+D52+D21+D6</f>
        <v>642876.28</v>
      </c>
      <c r="E93" s="11">
        <f>E91+E87+E81+E76+E69+E52+E21+E6</f>
        <v>780688.51</v>
      </c>
      <c r="F93" s="11">
        <f>F91+F87+F81+F76+F69+F52+F21+F6</f>
        <v>936776.99</v>
      </c>
      <c r="G93" s="11">
        <f>G91+G87+G81+G76+G69+G52+G21+G6</f>
        <v>576510.29</v>
      </c>
    </row>
  </sheetData>
  <pageMargins left="0.51181102362204722" right="0.51181102362204722" top="0.78740157480314965" bottom="0.39370078740157483" header="0.31496062992125984" footer="0.31496062992125984"/>
  <pageSetup paperSize="9" fitToHeight="0" orientation="landscape" horizontalDpi="0" verticalDpi="0" r:id="rId1"/>
  <rowBreaks count="1" manualBreakCount="1">
    <brk id="7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9" sqref="R9"/>
    </sheetView>
  </sheetViews>
  <sheetFormatPr defaultRowHeight="13.2" x14ac:dyDescent="0.25"/>
  <cols>
    <col min="16" max="16" width="12.88671875" customWidth="1"/>
  </cols>
  <sheetData/>
  <pageMargins left="0.11811023622047245" right="0.11811023622047245" top="0.39370078740157483" bottom="0.19685039370078741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Q3" sqref="Q3"/>
    </sheetView>
  </sheetViews>
  <sheetFormatPr defaultRowHeight="13.2" x14ac:dyDescent="0.25"/>
  <cols>
    <col min="16" max="16" width="12.88671875" customWidth="1"/>
  </cols>
  <sheetData/>
  <pageMargins left="0.11811023622047245" right="0.11811023622047245" top="0.39370078740157483" bottom="0.19685039370078741" header="0.31496062992125984" footer="0.31496062992125984"/>
  <pageSetup paperSize="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JAN-2018</vt:lpstr>
      <vt:lpstr>FEV-2018</vt:lpstr>
      <vt:lpstr>MAR-2018</vt:lpstr>
      <vt:lpstr>ABR-2018</vt:lpstr>
      <vt:lpstr>MAI-2018</vt:lpstr>
      <vt:lpstr>GERAL</vt:lpstr>
      <vt:lpstr>CC-COMPRAS</vt:lpstr>
      <vt:lpstr>CC-COMERCIAL</vt:lpstr>
      <vt:lpstr>'FEV-2018'!Area_de_impressao</vt:lpstr>
      <vt:lpstr>GERAL!Area_de_impressao</vt:lpstr>
      <vt:lpstr>'MAR-2018'!Area_de_impressao</vt:lpstr>
      <vt:lpstr>GERAL!Titulos_de_impressao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Saulo Rezende</cp:lastModifiedBy>
  <cp:lastPrinted>2018-05-30T12:25:55Z</cp:lastPrinted>
  <dcterms:created xsi:type="dcterms:W3CDTF">2018-05-29T10:55:52Z</dcterms:created>
  <dcterms:modified xsi:type="dcterms:W3CDTF">2018-05-30T12:26:06Z</dcterms:modified>
</cp:coreProperties>
</file>