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style3.xml" ContentType="application/vnd.ms-office.chartstyle+xml"/>
  <Override PartName="/xl/charts/style2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3.xml" ContentType="application/vnd.ms-office.chartcolorstyle+xml"/>
  <Override PartName="/xl/charts/colors2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EstaPasta_de_trabalho"/>
  <bookViews>
    <workbookView xWindow="0" yWindow="0" windowWidth="21840" windowHeight="12450"/>
  </bookViews>
  <sheets>
    <sheet name="Modelo Preenchido" sheetId="2" r:id="rId1"/>
    <sheet name="Preenchido (Original)" sheetId="3" r:id="rId2"/>
  </sheets>
  <definedNames>
    <definedName name="k_LinVirada">MAX(ROW(OFFSET(lst_Hora,0,0,ROWS(lst_Hora)-1))*(((OFFSET(lst_Hora,1,0,ROWS(lst_Hora)-1)-OFFSET(lst_Hora,0,0,ROWS(lst_Hora)-1))&lt;0)*1))+1</definedName>
    <definedName name="lst_Fc">INDEX(tblDados,0,7)</definedName>
    <definedName name="lst_Hora">INDEX(tblDados,0,1)</definedName>
    <definedName name="lst_HoraAjustada">IF(ROW(lst_Hora)&lt;k_LinVirada,lst_Hora,lst_Hora+1)</definedName>
    <definedName name="lst_PAD">INDEX(tblDados,0,5)</definedName>
    <definedName name="lst_PAM">INDEX(tblDados,0,6)</definedName>
    <definedName name="lst_PAS">INDEX(tblDados,0,4)</definedName>
    <definedName name="tblDados">OFFSET('Modelo Preenchido'!$A$3,0,0,COUNTA('Modelo Preenchido'!$A$3:$A$120),11)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17" i="2" a="1"/>
  <c r="W17" s="1"/>
  <c r="U17" a="1"/>
  <c r="U17" s="1"/>
  <c r="W16" a="1"/>
  <c r="W16" s="1"/>
  <c r="U16" a="1"/>
  <c r="U16" s="1"/>
  <c r="W15"/>
  <c r="U15"/>
  <c r="W8" a="1"/>
  <c r="W8" s="1"/>
  <c r="V8" a="1"/>
  <c r="V8" s="1"/>
  <c r="U8" a="1"/>
  <c r="U8" s="1"/>
  <c r="T8" a="1"/>
  <c r="T8" s="1"/>
  <c r="W7" a="1"/>
  <c r="W7" s="1"/>
  <c r="V7" a="1"/>
  <c r="V7" s="1"/>
  <c r="U7" a="1"/>
  <c r="U7" s="1"/>
  <c r="T7" a="1"/>
  <c r="T7" s="1"/>
  <c r="U6" i="3"/>
  <c r="T6"/>
  <c r="W6" i="2" a="1"/>
  <c r="W6" s="1"/>
  <c r="V6" a="1"/>
  <c r="V6" s="1"/>
  <c r="U6" a="1"/>
  <c r="U6" s="1"/>
  <c r="T6" a="1"/>
  <c r="T6" s="1"/>
  <c r="W5" a="1"/>
  <c r="W5" s="1"/>
  <c r="V5" a="1"/>
  <c r="V5" s="1"/>
  <c r="U5" a="1"/>
  <c r="U5" s="1"/>
  <c r="T5" a="1"/>
  <c r="T5" s="1"/>
  <c r="T21" l="1" a="1"/>
  <c r="T21" s="1"/>
  <c r="W4"/>
  <c r="V4"/>
  <c r="U4"/>
  <c r="T4"/>
  <c r="W3"/>
  <c r="V3"/>
  <c r="U3"/>
  <c r="T3"/>
  <c r="T21" i="3" l="1"/>
  <c r="K120" l="1"/>
  <c r="B120"/>
  <c r="J119"/>
  <c r="H119"/>
  <c r="B119"/>
  <c r="K119" s="1"/>
  <c r="B118"/>
  <c r="K118" s="1"/>
  <c r="J117"/>
  <c r="H117"/>
  <c r="B117"/>
  <c r="K117" s="1"/>
  <c r="K116"/>
  <c r="B116"/>
  <c r="J115"/>
  <c r="H115"/>
  <c r="B115"/>
  <c r="K115" s="1"/>
  <c r="B114"/>
  <c r="K114" s="1"/>
  <c r="J113"/>
  <c r="H113"/>
  <c r="B113"/>
  <c r="K113" s="1"/>
  <c r="K112"/>
  <c r="B112"/>
  <c r="J111"/>
  <c r="H111"/>
  <c r="B111"/>
  <c r="K111" s="1"/>
  <c r="B110"/>
  <c r="K110" s="1"/>
  <c r="J109"/>
  <c r="H109"/>
  <c r="B109"/>
  <c r="K109" s="1"/>
  <c r="K108"/>
  <c r="B108"/>
  <c r="J107"/>
  <c r="H107"/>
  <c r="B107"/>
  <c r="K107" s="1"/>
  <c r="B106"/>
  <c r="K106" s="1"/>
  <c r="J105"/>
  <c r="H105"/>
  <c r="B105"/>
  <c r="K105" s="1"/>
  <c r="K104"/>
  <c r="B104"/>
  <c r="J103"/>
  <c r="H103"/>
  <c r="B103"/>
  <c r="K103" s="1"/>
  <c r="B102"/>
  <c r="K102" s="1"/>
  <c r="J101"/>
  <c r="H101"/>
  <c r="B101"/>
  <c r="K101" s="1"/>
  <c r="K100"/>
  <c r="B100"/>
  <c r="J99"/>
  <c r="H99"/>
  <c r="B99"/>
  <c r="K99" s="1"/>
  <c r="B98"/>
  <c r="K98" s="1"/>
  <c r="J97"/>
  <c r="H97"/>
  <c r="B97"/>
  <c r="K97" s="1"/>
  <c r="K96"/>
  <c r="B96"/>
  <c r="J95"/>
  <c r="H95"/>
  <c r="B95"/>
  <c r="K95" s="1"/>
  <c r="B94"/>
  <c r="K94" s="1"/>
  <c r="J93"/>
  <c r="H93"/>
  <c r="B93"/>
  <c r="K93" s="1"/>
  <c r="K92"/>
  <c r="B92"/>
  <c r="J91"/>
  <c r="H91"/>
  <c r="B91"/>
  <c r="K91" s="1"/>
  <c r="B90"/>
  <c r="K90" s="1"/>
  <c r="J89"/>
  <c r="H89"/>
  <c r="B89"/>
  <c r="K89" s="1"/>
  <c r="K88"/>
  <c r="B88"/>
  <c r="J87"/>
  <c r="H87"/>
  <c r="B87"/>
  <c r="K87" s="1"/>
  <c r="B86"/>
  <c r="K86" s="1"/>
  <c r="J85"/>
  <c r="H85"/>
  <c r="B85"/>
  <c r="K85" s="1"/>
  <c r="K84"/>
  <c r="B84"/>
  <c r="J83"/>
  <c r="H83"/>
  <c r="B83"/>
  <c r="K83" s="1"/>
  <c r="B82"/>
  <c r="K82" s="1"/>
  <c r="J81"/>
  <c r="H81"/>
  <c r="B81"/>
  <c r="K81" s="1"/>
  <c r="K80"/>
  <c r="B80"/>
  <c r="J79"/>
  <c r="H79"/>
  <c r="B79"/>
  <c r="K79" s="1"/>
  <c r="K78"/>
  <c r="H78"/>
  <c r="B78"/>
  <c r="J78" s="1"/>
  <c r="B77"/>
  <c r="I77" s="1"/>
  <c r="J76"/>
  <c r="H76"/>
  <c r="B76"/>
  <c r="K76" s="1"/>
  <c r="B75"/>
  <c r="I75" s="1"/>
  <c r="J74"/>
  <c r="H74"/>
  <c r="B74"/>
  <c r="K74" s="1"/>
  <c r="B73"/>
  <c r="I73" s="1"/>
  <c r="J72"/>
  <c r="H72"/>
  <c r="B72"/>
  <c r="K72" s="1"/>
  <c r="B71"/>
  <c r="I71" s="1"/>
  <c r="J70"/>
  <c r="H70"/>
  <c r="B70"/>
  <c r="K70" s="1"/>
  <c r="B69"/>
  <c r="I69" s="1"/>
  <c r="J68"/>
  <c r="H68"/>
  <c r="B68"/>
  <c r="K68" s="1"/>
  <c r="B67"/>
  <c r="I67" s="1"/>
  <c r="J66"/>
  <c r="H66"/>
  <c r="B66"/>
  <c r="K66" s="1"/>
  <c r="B65"/>
  <c r="I65" s="1"/>
  <c r="J64"/>
  <c r="H64"/>
  <c r="B64"/>
  <c r="K64" s="1"/>
  <c r="B63"/>
  <c r="I63" s="1"/>
  <c r="J62"/>
  <c r="H62"/>
  <c r="B62"/>
  <c r="K62" s="1"/>
  <c r="B61"/>
  <c r="I61" s="1"/>
  <c r="J60"/>
  <c r="H60"/>
  <c r="B60"/>
  <c r="K60" s="1"/>
  <c r="B59"/>
  <c r="I59" s="1"/>
  <c r="J58"/>
  <c r="H58"/>
  <c r="B58"/>
  <c r="K58" s="1"/>
  <c r="B57"/>
  <c r="I57" s="1"/>
  <c r="J56"/>
  <c r="H56"/>
  <c r="B56"/>
  <c r="K56" s="1"/>
  <c r="B55"/>
  <c r="I55" s="1"/>
  <c r="J54"/>
  <c r="H54"/>
  <c r="B54"/>
  <c r="K54" s="1"/>
  <c r="B53"/>
  <c r="I53" s="1"/>
  <c r="J52"/>
  <c r="H52"/>
  <c r="B52"/>
  <c r="K52" s="1"/>
  <c r="B51"/>
  <c r="I51" s="1"/>
  <c r="J50"/>
  <c r="H50"/>
  <c r="B50"/>
  <c r="K50" s="1"/>
  <c r="B49"/>
  <c r="I49" s="1"/>
  <c r="J48"/>
  <c r="H48"/>
  <c r="B48"/>
  <c r="K48" s="1"/>
  <c r="B47"/>
  <c r="I47" s="1"/>
  <c r="J46"/>
  <c r="H46"/>
  <c r="B46"/>
  <c r="K46" s="1"/>
  <c r="B45"/>
  <c r="I45" s="1"/>
  <c r="J44"/>
  <c r="H44"/>
  <c r="B44"/>
  <c r="K44" s="1"/>
  <c r="B43"/>
  <c r="I43" s="1"/>
  <c r="J42"/>
  <c r="H42"/>
  <c r="B42"/>
  <c r="K42" s="1"/>
  <c r="B41"/>
  <c r="I41" s="1"/>
  <c r="J40"/>
  <c r="H40"/>
  <c r="B40"/>
  <c r="K40" s="1"/>
  <c r="B39"/>
  <c r="I39" s="1"/>
  <c r="J38"/>
  <c r="H38"/>
  <c r="B38"/>
  <c r="K38" s="1"/>
  <c r="B37"/>
  <c r="I37" s="1"/>
  <c r="J36"/>
  <c r="H36"/>
  <c r="B36"/>
  <c r="K36" s="1"/>
  <c r="B35"/>
  <c r="I35" s="1"/>
  <c r="J34"/>
  <c r="H34"/>
  <c r="B34"/>
  <c r="K34" s="1"/>
  <c r="B33"/>
  <c r="I33" s="1"/>
  <c r="J32"/>
  <c r="H32"/>
  <c r="B32"/>
  <c r="K32" s="1"/>
  <c r="B31"/>
  <c r="I31" s="1"/>
  <c r="J30"/>
  <c r="H30"/>
  <c r="B30"/>
  <c r="K30" s="1"/>
  <c r="B29"/>
  <c r="I29" s="1"/>
  <c r="Q28" a="1"/>
  <c r="Q28" s="1"/>
  <c r="P28" a="1"/>
  <c r="P28" s="1"/>
  <c r="O28" a="1"/>
  <c r="O28" s="1"/>
  <c r="N28" a="1"/>
  <c r="N28" s="1"/>
  <c r="J28"/>
  <c r="H28"/>
  <c r="B28"/>
  <c r="K28" s="1"/>
  <c r="Q27"/>
  <c r="Q27" a="1"/>
  <c r="P27"/>
  <c r="P27" a="1"/>
  <c r="O27"/>
  <c r="O27" a="1"/>
  <c r="N27"/>
  <c r="N27" a="1"/>
  <c r="B27"/>
  <c r="I27" s="1"/>
  <c r="Q26" a="1"/>
  <c r="Q26" s="1"/>
  <c r="P26" a="1"/>
  <c r="P26" s="1"/>
  <c r="O26" a="1"/>
  <c r="O26" s="1"/>
  <c r="N26" a="1"/>
  <c r="N26" s="1"/>
  <c r="J26"/>
  <c r="H26"/>
  <c r="B26"/>
  <c r="K26" s="1"/>
  <c r="Q25"/>
  <c r="Q25" a="1"/>
  <c r="P25"/>
  <c r="P25" a="1"/>
  <c r="O25"/>
  <c r="O25" a="1"/>
  <c r="N25"/>
  <c r="N25" a="1"/>
  <c r="B25"/>
  <c r="I25" s="1"/>
  <c r="Q24" a="1"/>
  <c r="Q24" s="1"/>
  <c r="P24" a="1"/>
  <c r="P24" s="1"/>
  <c r="O24" a="1"/>
  <c r="O24" s="1"/>
  <c r="N24" a="1"/>
  <c r="N24" s="1"/>
  <c r="J24"/>
  <c r="H24"/>
  <c r="B24"/>
  <c r="K24" s="1"/>
  <c r="Q23"/>
  <c r="Q23" a="1"/>
  <c r="P23"/>
  <c r="P23" a="1"/>
  <c r="O23"/>
  <c r="O23" a="1"/>
  <c r="N23"/>
  <c r="N23" a="1"/>
  <c r="B23"/>
  <c r="I23" s="1"/>
  <c r="Q22" a="1"/>
  <c r="Q22" s="1"/>
  <c r="P22" a="1"/>
  <c r="P22" s="1"/>
  <c r="O22" a="1"/>
  <c r="O22" s="1"/>
  <c r="N22" a="1"/>
  <c r="N22" s="1"/>
  <c r="J22"/>
  <c r="H22"/>
  <c r="B22"/>
  <c r="K22" s="1"/>
  <c r="Q21" a="1"/>
  <c r="Q21" s="1"/>
  <c r="P21" a="1"/>
  <c r="P21" s="1"/>
  <c r="O21" a="1"/>
  <c r="O21" s="1"/>
  <c r="N21" a="1"/>
  <c r="N21" s="1"/>
  <c r="J21"/>
  <c r="H21"/>
  <c r="B21"/>
  <c r="K21" s="1"/>
  <c r="W20"/>
  <c r="Q20"/>
  <c r="Q20" a="1"/>
  <c r="P20"/>
  <c r="P20" a="1"/>
  <c r="O20"/>
  <c r="O20" a="1"/>
  <c r="N20"/>
  <c r="N20" a="1"/>
  <c r="I20"/>
  <c r="B20"/>
  <c r="Q19" a="1"/>
  <c r="Q19" s="1"/>
  <c r="P19" a="1"/>
  <c r="P19" s="1"/>
  <c r="O19" a="1"/>
  <c r="O19" s="1"/>
  <c r="N19" a="1"/>
  <c r="N19" s="1"/>
  <c r="J19"/>
  <c r="H19"/>
  <c r="B19"/>
  <c r="K19" s="1"/>
  <c r="Q18"/>
  <c r="Q18" a="1"/>
  <c r="P18"/>
  <c r="P18" a="1"/>
  <c r="O18"/>
  <c r="O18" a="1"/>
  <c r="N18"/>
  <c r="N18" a="1"/>
  <c r="B18"/>
  <c r="W17"/>
  <c r="U17"/>
  <c r="Q17" a="1"/>
  <c r="Q17" s="1"/>
  <c r="P17"/>
  <c r="P17" a="1"/>
  <c r="O17"/>
  <c r="O17" a="1"/>
  <c r="N17"/>
  <c r="N17" a="1"/>
  <c r="B17"/>
  <c r="J17" s="1"/>
  <c r="W16"/>
  <c r="U16"/>
  <c r="Q16" a="1"/>
  <c r="Q16" s="1"/>
  <c r="P16" a="1"/>
  <c r="P16" s="1"/>
  <c r="O16" a="1"/>
  <c r="O16" s="1"/>
  <c r="N16" a="1"/>
  <c r="N16" s="1"/>
  <c r="J16"/>
  <c r="H16"/>
  <c r="B16"/>
  <c r="K16" s="1"/>
  <c r="W15"/>
  <c r="U15"/>
  <c r="Q15"/>
  <c r="Q15" a="1"/>
  <c r="P15"/>
  <c r="P15" a="1"/>
  <c r="O15"/>
  <c r="O15" a="1"/>
  <c r="N15"/>
  <c r="N15" a="1"/>
  <c r="B15"/>
  <c r="J15" s="1"/>
  <c r="Q14" a="1"/>
  <c r="Q14" s="1"/>
  <c r="P14" a="1"/>
  <c r="P14" s="1"/>
  <c r="O14" a="1"/>
  <c r="O14" s="1"/>
  <c r="N14" a="1"/>
  <c r="N14" s="1"/>
  <c r="J14"/>
  <c r="H14"/>
  <c r="B14"/>
  <c r="K14" s="1"/>
  <c r="Q13"/>
  <c r="Q13" a="1"/>
  <c r="P13"/>
  <c r="P13" a="1"/>
  <c r="O13"/>
  <c r="O13" a="1"/>
  <c r="N13"/>
  <c r="N13" a="1"/>
  <c r="B13"/>
  <c r="J13" s="1"/>
  <c r="Q12"/>
  <c r="Q12" a="1"/>
  <c r="P12"/>
  <c r="P12" a="1"/>
  <c r="O12"/>
  <c r="O12" a="1"/>
  <c r="N12" a="1"/>
  <c r="N12" s="1"/>
  <c r="J12"/>
  <c r="H12"/>
  <c r="B12"/>
  <c r="K12" s="1"/>
  <c r="Q11" a="1"/>
  <c r="Q11" s="1"/>
  <c r="P11" a="1"/>
  <c r="P11" s="1"/>
  <c r="O11" a="1"/>
  <c r="O11" s="1"/>
  <c r="N11" a="1"/>
  <c r="N11" s="1"/>
  <c r="J11"/>
  <c r="H11"/>
  <c r="B11"/>
  <c r="K11" s="1"/>
  <c r="Q10"/>
  <c r="Q10" a="1"/>
  <c r="P10"/>
  <c r="P10" a="1"/>
  <c r="O10"/>
  <c r="O10" a="1"/>
  <c r="N10" a="1"/>
  <c r="N10" s="1"/>
  <c r="J10"/>
  <c r="H10"/>
  <c r="B10"/>
  <c r="K10" s="1"/>
  <c r="W9"/>
  <c r="U9"/>
  <c r="Q9" a="1"/>
  <c r="Q9" s="1"/>
  <c r="P9" a="1"/>
  <c r="P9" s="1"/>
  <c r="O9" a="1"/>
  <c r="O9" s="1"/>
  <c r="N9" a="1"/>
  <c r="N9" s="1"/>
  <c r="J9"/>
  <c r="H9"/>
  <c r="B9"/>
  <c r="K9" s="1"/>
  <c r="W8"/>
  <c r="V8"/>
  <c r="U8"/>
  <c r="T8"/>
  <c r="Q8"/>
  <c r="Q8" a="1"/>
  <c r="P8"/>
  <c r="P8" a="1"/>
  <c r="O8"/>
  <c r="O8" a="1"/>
  <c r="N8" a="1"/>
  <c r="N8" s="1"/>
  <c r="J8"/>
  <c r="H8"/>
  <c r="B8"/>
  <c r="K8" s="1"/>
  <c r="W7"/>
  <c r="V7"/>
  <c r="U7"/>
  <c r="T7"/>
  <c r="Q7" a="1"/>
  <c r="Q7" s="1"/>
  <c r="P7" a="1"/>
  <c r="P7" s="1"/>
  <c r="O7" a="1"/>
  <c r="O7" s="1"/>
  <c r="N7" a="1"/>
  <c r="N7" s="1"/>
  <c r="J7"/>
  <c r="H7"/>
  <c r="B7"/>
  <c r="K7" s="1"/>
  <c r="W6"/>
  <c r="W11" s="1"/>
  <c r="V6"/>
  <c r="V11" s="1"/>
  <c r="U11"/>
  <c r="T11"/>
  <c r="Q6" a="1"/>
  <c r="Q6" s="1"/>
  <c r="P6" a="1"/>
  <c r="P6" s="1"/>
  <c r="O6" a="1"/>
  <c r="O6" s="1"/>
  <c r="N6" a="1"/>
  <c r="N6" s="1"/>
  <c r="J6"/>
  <c r="H6"/>
  <c r="B6"/>
  <c r="K6" s="1"/>
  <c r="W5"/>
  <c r="V5"/>
  <c r="U5"/>
  <c r="W18" s="1"/>
  <c r="W19" s="1"/>
  <c r="T5"/>
  <c r="U18" s="1"/>
  <c r="U19" s="1"/>
  <c r="Q5"/>
  <c r="Q5" a="1"/>
  <c r="P5"/>
  <c r="P5" a="1"/>
  <c r="O5"/>
  <c r="O5" a="1"/>
  <c r="N5"/>
  <c r="N5" a="1"/>
  <c r="B5"/>
  <c r="K5" s="1"/>
  <c r="W4"/>
  <c r="W10" s="1"/>
  <c r="V4"/>
  <c r="V10" s="1"/>
  <c r="U4"/>
  <c r="U10" s="1"/>
  <c r="T4"/>
  <c r="T10" s="1"/>
  <c r="Q4" a="1"/>
  <c r="Q4" s="1"/>
  <c r="P4" a="1"/>
  <c r="P4" s="1"/>
  <c r="O4" a="1"/>
  <c r="O4" s="1"/>
  <c r="N4" a="1"/>
  <c r="N4" s="1"/>
  <c r="J4"/>
  <c r="H4"/>
  <c r="B4"/>
  <c r="W3"/>
  <c r="V3"/>
  <c r="U3"/>
  <c r="T3"/>
  <c r="Q3"/>
  <c r="Q3" a="1"/>
  <c r="P3"/>
  <c r="P3" a="1"/>
  <c r="O3"/>
  <c r="O3" a="1"/>
  <c r="N3"/>
  <c r="N3" a="1"/>
  <c r="T12" l="1"/>
  <c r="I4"/>
  <c r="K4"/>
  <c r="H5"/>
  <c r="J5"/>
  <c r="I6"/>
  <c r="I5"/>
  <c r="I7"/>
  <c r="I8"/>
  <c r="I10"/>
  <c r="I12"/>
  <c r="I13"/>
  <c r="K13"/>
  <c r="I15"/>
  <c r="K15"/>
  <c r="I17"/>
  <c r="K17"/>
  <c r="J18"/>
  <c r="H18"/>
  <c r="K18"/>
  <c r="J20"/>
  <c r="H20"/>
  <c r="K20"/>
  <c r="J80"/>
  <c r="H80"/>
  <c r="I80"/>
  <c r="J84"/>
  <c r="H84"/>
  <c r="I84"/>
  <c r="J88"/>
  <c r="H88"/>
  <c r="I88"/>
  <c r="J92"/>
  <c r="H92"/>
  <c r="I92"/>
  <c r="J96"/>
  <c r="H96"/>
  <c r="I96"/>
  <c r="J100"/>
  <c r="H100"/>
  <c r="I100"/>
  <c r="J104"/>
  <c r="H104"/>
  <c r="I104"/>
  <c r="J108"/>
  <c r="H108"/>
  <c r="I108"/>
  <c r="J112"/>
  <c r="H112"/>
  <c r="I112"/>
  <c r="J116"/>
  <c r="H116"/>
  <c r="I116"/>
  <c r="J120"/>
  <c r="H120"/>
  <c r="I120"/>
  <c r="I9"/>
  <c r="I11"/>
  <c r="H13"/>
  <c r="I14"/>
  <c r="H15"/>
  <c r="I16"/>
  <c r="H17"/>
  <c r="I18"/>
  <c r="J23"/>
  <c r="H23"/>
  <c r="K23"/>
  <c r="J25"/>
  <c r="H25"/>
  <c r="K25"/>
  <c r="J27"/>
  <c r="H27"/>
  <c r="K27"/>
  <c r="U20"/>
  <c r="J29"/>
  <c r="H29"/>
  <c r="K29"/>
  <c r="J31"/>
  <c r="H31"/>
  <c r="K31"/>
  <c r="J33"/>
  <c r="H33"/>
  <c r="K33"/>
  <c r="J35"/>
  <c r="H35"/>
  <c r="K35"/>
  <c r="J37"/>
  <c r="H37"/>
  <c r="K37"/>
  <c r="J39"/>
  <c r="H39"/>
  <c r="K39"/>
  <c r="J41"/>
  <c r="H41"/>
  <c r="K41"/>
  <c r="J43"/>
  <c r="H43"/>
  <c r="K43"/>
  <c r="J45"/>
  <c r="H45"/>
  <c r="K45"/>
  <c r="J47"/>
  <c r="H47"/>
  <c r="K47"/>
  <c r="J49"/>
  <c r="H49"/>
  <c r="K49"/>
  <c r="J51"/>
  <c r="H51"/>
  <c r="K51"/>
  <c r="J53"/>
  <c r="H53"/>
  <c r="K53"/>
  <c r="J55"/>
  <c r="H55"/>
  <c r="K55"/>
  <c r="J57"/>
  <c r="H57"/>
  <c r="K57"/>
  <c r="J59"/>
  <c r="H59"/>
  <c r="K59"/>
  <c r="J61"/>
  <c r="H61"/>
  <c r="K61"/>
  <c r="J63"/>
  <c r="H63"/>
  <c r="K63"/>
  <c r="J65"/>
  <c r="H65"/>
  <c r="K65"/>
  <c r="J67"/>
  <c r="H67"/>
  <c r="K67"/>
  <c r="J69"/>
  <c r="H69"/>
  <c r="K69"/>
  <c r="J71"/>
  <c r="H71"/>
  <c r="K71"/>
  <c r="J73"/>
  <c r="H73"/>
  <c r="K73"/>
  <c r="J75"/>
  <c r="H75"/>
  <c r="K75"/>
  <c r="J77"/>
  <c r="H77"/>
  <c r="K77"/>
  <c r="J82"/>
  <c r="H82"/>
  <c r="I82"/>
  <c r="J86"/>
  <c r="H86"/>
  <c r="I86"/>
  <c r="J90"/>
  <c r="H90"/>
  <c r="I90"/>
  <c r="J94"/>
  <c r="H94"/>
  <c r="I94"/>
  <c r="J98"/>
  <c r="H98"/>
  <c r="I98"/>
  <c r="J102"/>
  <c r="H102"/>
  <c r="I102"/>
  <c r="J106"/>
  <c r="H106"/>
  <c r="I106"/>
  <c r="J110"/>
  <c r="H110"/>
  <c r="I110"/>
  <c r="J114"/>
  <c r="H114"/>
  <c r="I114"/>
  <c r="J118"/>
  <c r="H118"/>
  <c r="I118"/>
  <c r="I19"/>
  <c r="I21"/>
  <c r="I22"/>
  <c r="I24"/>
  <c r="I26"/>
  <c r="I28"/>
  <c r="I30"/>
  <c r="I32"/>
  <c r="I34"/>
  <c r="I36"/>
  <c r="I38"/>
  <c r="I40"/>
  <c r="I42"/>
  <c r="I44"/>
  <c r="I46"/>
  <c r="I48"/>
  <c r="I50"/>
  <c r="I52"/>
  <c r="I54"/>
  <c r="I56"/>
  <c r="I58"/>
  <c r="I60"/>
  <c r="I62"/>
  <c r="I64"/>
  <c r="I66"/>
  <c r="I68"/>
  <c r="I70"/>
  <c r="I72"/>
  <c r="I74"/>
  <c r="I76"/>
  <c r="I78"/>
  <c r="I79"/>
  <c r="I81"/>
  <c r="I83"/>
  <c r="I85"/>
  <c r="I87"/>
  <c r="I89"/>
  <c r="I91"/>
  <c r="I93"/>
  <c r="I95"/>
  <c r="I97"/>
  <c r="I99"/>
  <c r="I101"/>
  <c r="I103"/>
  <c r="I105"/>
  <c r="I107"/>
  <c r="I109"/>
  <c r="I111"/>
  <c r="I113"/>
  <c r="I115"/>
  <c r="I117"/>
  <c r="I119"/>
  <c r="N27" i="2" a="1"/>
  <c r="N27" s="1"/>
  <c r="O27" a="1"/>
  <c r="O27" s="1"/>
  <c r="P27" a="1"/>
  <c r="P27" s="1"/>
  <c r="Q27" a="1"/>
  <c r="Q27" s="1"/>
  <c r="N28" a="1"/>
  <c r="N28" s="1"/>
  <c r="O28" a="1"/>
  <c r="O28" s="1"/>
  <c r="P28" a="1"/>
  <c r="P28" s="1"/>
  <c r="Q28" a="1"/>
  <c r="Q28" s="1"/>
  <c r="O26" a="1"/>
  <c r="O26" s="1"/>
  <c r="P26" a="1"/>
  <c r="P26" s="1"/>
  <c r="Q26" a="1"/>
  <c r="Q26" s="1"/>
  <c r="N26" a="1"/>
  <c r="N26"/>
  <c r="N21" a="1"/>
  <c r="N21" s="1"/>
  <c r="O21" a="1"/>
  <c r="O21" s="1"/>
  <c r="P21" a="1"/>
  <c r="P21" s="1"/>
  <c r="Q21" a="1"/>
  <c r="Q21" s="1"/>
  <c r="N22" a="1"/>
  <c r="N22" s="1"/>
  <c r="O22" a="1"/>
  <c r="O22" s="1"/>
  <c r="P22" a="1"/>
  <c r="P22" s="1"/>
  <c r="Q22" a="1"/>
  <c r="Q22" s="1"/>
  <c r="N23" a="1"/>
  <c r="N23" s="1"/>
  <c r="O23" a="1"/>
  <c r="O23" s="1"/>
  <c r="P23" a="1"/>
  <c r="P23" s="1"/>
  <c r="Q23" a="1"/>
  <c r="Q23" s="1"/>
  <c r="N24" a="1"/>
  <c r="N24" s="1"/>
  <c r="O24" a="1"/>
  <c r="O24" s="1"/>
  <c r="P24" a="1"/>
  <c r="P24" s="1"/>
  <c r="Q24" a="1"/>
  <c r="Q24" s="1"/>
  <c r="N25" a="1"/>
  <c r="N25" s="1"/>
  <c r="O25" a="1"/>
  <c r="O25" s="1"/>
  <c r="P25" a="1"/>
  <c r="P25" s="1"/>
  <c r="Q25" a="1"/>
  <c r="Q25" s="1"/>
  <c r="N20" a="1"/>
  <c r="N20" s="1"/>
  <c r="O20" a="1"/>
  <c r="O20" s="1"/>
  <c r="P20" a="1"/>
  <c r="P20" s="1"/>
  <c r="Q20" a="1"/>
  <c r="Q20" s="1"/>
  <c r="N7" a="1"/>
  <c r="N7" s="1"/>
  <c r="O7" a="1"/>
  <c r="O7" s="1"/>
  <c r="P7" a="1"/>
  <c r="P7" s="1"/>
  <c r="Q7" a="1"/>
  <c r="Q7" s="1"/>
  <c r="N8" a="1"/>
  <c r="N8" s="1"/>
  <c r="O8" a="1"/>
  <c r="O8" s="1"/>
  <c r="P8" a="1"/>
  <c r="P8" s="1"/>
  <c r="Q8" a="1"/>
  <c r="Q8" s="1"/>
  <c r="N9" a="1"/>
  <c r="N9" s="1"/>
  <c r="O9" a="1"/>
  <c r="O9" s="1"/>
  <c r="P9" a="1"/>
  <c r="P9" s="1"/>
  <c r="Q9" a="1"/>
  <c r="Q9" s="1"/>
  <c r="N10" a="1"/>
  <c r="N10" s="1"/>
  <c r="O10" a="1"/>
  <c r="O10" s="1"/>
  <c r="P10" a="1"/>
  <c r="P10" s="1"/>
  <c r="Q10" a="1"/>
  <c r="Q10" s="1"/>
  <c r="N11" a="1"/>
  <c r="N11" s="1"/>
  <c r="O11" a="1"/>
  <c r="O11" s="1"/>
  <c r="P11" a="1"/>
  <c r="P11" s="1"/>
  <c r="Q11" a="1"/>
  <c r="Q11" s="1"/>
  <c r="N12" a="1"/>
  <c r="N12" s="1"/>
  <c r="O12" a="1"/>
  <c r="O12" s="1"/>
  <c r="P12" a="1"/>
  <c r="P12" s="1"/>
  <c r="Q12" a="1"/>
  <c r="Q12" s="1"/>
  <c r="N13" a="1"/>
  <c r="N13" s="1"/>
  <c r="O13" a="1"/>
  <c r="O13" s="1"/>
  <c r="P13" a="1"/>
  <c r="P13" s="1"/>
  <c r="Q13" a="1"/>
  <c r="Q13" s="1"/>
  <c r="N14" a="1"/>
  <c r="N14" s="1"/>
  <c r="O14" a="1"/>
  <c r="O14" s="1"/>
  <c r="P14" a="1"/>
  <c r="P14" s="1"/>
  <c r="Q14" a="1"/>
  <c r="Q14" s="1"/>
  <c r="N15" a="1"/>
  <c r="N15" s="1"/>
  <c r="O15" a="1"/>
  <c r="O15" s="1"/>
  <c r="P15" a="1"/>
  <c r="P15" s="1"/>
  <c r="Q15" a="1"/>
  <c r="Q15" s="1"/>
  <c r="N16" a="1"/>
  <c r="N16" s="1"/>
  <c r="O16" a="1"/>
  <c r="O16" s="1"/>
  <c r="P16" a="1"/>
  <c r="P16" s="1"/>
  <c r="Q16" a="1"/>
  <c r="Q16" s="1"/>
  <c r="N17" a="1"/>
  <c r="N17" s="1"/>
  <c r="O17" a="1"/>
  <c r="O17" s="1"/>
  <c r="P17" a="1"/>
  <c r="P17" s="1"/>
  <c r="Q17" a="1"/>
  <c r="Q17" s="1"/>
  <c r="N18" a="1"/>
  <c r="N18" s="1"/>
  <c r="O18" a="1"/>
  <c r="O18" s="1"/>
  <c r="P18" a="1"/>
  <c r="P18" s="1"/>
  <c r="Q18" a="1"/>
  <c r="Q18" s="1"/>
  <c r="N19" a="1"/>
  <c r="N19" s="1"/>
  <c r="O19" a="1"/>
  <c r="O19" s="1"/>
  <c r="P19" a="1"/>
  <c r="P19" s="1"/>
  <c r="Q19" a="1"/>
  <c r="Q19" s="1"/>
  <c r="Q6" a="1"/>
  <c r="Q6" s="1"/>
  <c r="P6" a="1"/>
  <c r="P6" s="1"/>
  <c r="O6" a="1"/>
  <c r="O6" s="1"/>
  <c r="N6" a="1"/>
  <c r="N6" s="1"/>
  <c r="N4" a="1"/>
  <c r="N4" s="1"/>
  <c r="O4" a="1"/>
  <c r="O4" s="1"/>
  <c r="P4" a="1"/>
  <c r="P4" s="1"/>
  <c r="Q4" a="1"/>
  <c r="Q4" s="1"/>
  <c r="N5" a="1"/>
  <c r="N5" s="1"/>
  <c r="O5" a="1"/>
  <c r="O5" s="1"/>
  <c r="P5" a="1"/>
  <c r="P5" s="1"/>
  <c r="Q5" a="1"/>
  <c r="Q5" s="1"/>
  <c r="O3" a="1"/>
  <c r="O3" s="1"/>
  <c r="P3" a="1"/>
  <c r="P3" s="1"/>
  <c r="Q3" a="1"/>
  <c r="Q3" s="1"/>
  <c r="N3" a="1"/>
  <c r="N3" s="1"/>
  <c r="V13" i="3" l="1"/>
  <c r="T13"/>
  <c r="W13"/>
  <c r="U13"/>
  <c r="W20" i="2"/>
  <c r="U20"/>
  <c r="B120" l="1"/>
  <c r="K120" s="1"/>
  <c r="B119"/>
  <c r="B118"/>
  <c r="B117"/>
  <c r="J116"/>
  <c r="B116"/>
  <c r="K116" s="1"/>
  <c r="B115"/>
  <c r="B114"/>
  <c r="B113"/>
  <c r="B112"/>
  <c r="K112" s="1"/>
  <c r="B111"/>
  <c r="B110"/>
  <c r="B109"/>
  <c r="B108"/>
  <c r="K108" s="1"/>
  <c r="B107"/>
  <c r="B106"/>
  <c r="B105"/>
  <c r="B104"/>
  <c r="K104" s="1"/>
  <c r="B103"/>
  <c r="B102"/>
  <c r="B101"/>
  <c r="B100"/>
  <c r="K100" s="1"/>
  <c r="B99"/>
  <c r="B98"/>
  <c r="B97"/>
  <c r="J96"/>
  <c r="B96"/>
  <c r="K96" s="1"/>
  <c r="B95"/>
  <c r="B94"/>
  <c r="B93"/>
  <c r="B92"/>
  <c r="K92" s="1"/>
  <c r="B91"/>
  <c r="B90"/>
  <c r="B89"/>
  <c r="B88"/>
  <c r="K88" s="1"/>
  <c r="B87"/>
  <c r="B86"/>
  <c r="B85"/>
  <c r="B84"/>
  <c r="K84" s="1"/>
  <c r="B83"/>
  <c r="B82"/>
  <c r="B81"/>
  <c r="B80"/>
  <c r="K80" s="1"/>
  <c r="B79"/>
  <c r="B78"/>
  <c r="B77"/>
  <c r="H76"/>
  <c r="B76"/>
  <c r="K76" s="1"/>
  <c r="B75"/>
  <c r="B74"/>
  <c r="B73"/>
  <c r="B72"/>
  <c r="K72" s="1"/>
  <c r="B71"/>
  <c r="B70"/>
  <c r="B69"/>
  <c r="B68"/>
  <c r="K68" s="1"/>
  <c r="B67"/>
  <c r="B66"/>
  <c r="B65"/>
  <c r="B64"/>
  <c r="K64" s="1"/>
  <c r="B63"/>
  <c r="B62"/>
  <c r="B61"/>
  <c r="B60"/>
  <c r="K60" s="1"/>
  <c r="B59"/>
  <c r="B58"/>
  <c r="B57"/>
  <c r="B56"/>
  <c r="K56" s="1"/>
  <c r="B55"/>
  <c r="B54"/>
  <c r="B53"/>
  <c r="B52"/>
  <c r="K52" s="1"/>
  <c r="B51"/>
  <c r="B50"/>
  <c r="B49"/>
  <c r="J48"/>
  <c r="B48"/>
  <c r="K48" s="1"/>
  <c r="B47"/>
  <c r="B46"/>
  <c r="B45"/>
  <c r="B44"/>
  <c r="K44" s="1"/>
  <c r="B43"/>
  <c r="B42"/>
  <c r="B41"/>
  <c r="B40"/>
  <c r="K40" s="1"/>
  <c r="B39"/>
  <c r="B38"/>
  <c r="B37"/>
  <c r="B36"/>
  <c r="B35"/>
  <c r="K35" s="1"/>
  <c r="B34"/>
  <c r="H34" s="1"/>
  <c r="B33"/>
  <c r="I33" s="1"/>
  <c r="B32"/>
  <c r="B31"/>
  <c r="K31" s="1"/>
  <c r="B30"/>
  <c r="H30" s="1"/>
  <c r="B29"/>
  <c r="I29" s="1"/>
  <c r="B28"/>
  <c r="K28" s="1"/>
  <c r="B27"/>
  <c r="K27" s="1"/>
  <c r="B26"/>
  <c r="K26" s="1"/>
  <c r="B25"/>
  <c r="I25" s="1"/>
  <c r="B24"/>
  <c r="B23"/>
  <c r="K23" s="1"/>
  <c r="B22"/>
  <c r="K22" s="1"/>
  <c r="B21"/>
  <c r="H21" s="1"/>
  <c r="B20"/>
  <c r="K20" s="1"/>
  <c r="B19"/>
  <c r="J19" s="1"/>
  <c r="B18"/>
  <c r="I18" s="1"/>
  <c r="J17"/>
  <c r="B17"/>
  <c r="K17" s="1"/>
  <c r="B16"/>
  <c r="K16" s="1"/>
  <c r="B15"/>
  <c r="J15" s="1"/>
  <c r="B14"/>
  <c r="K14" s="1"/>
  <c r="B13"/>
  <c r="H13" s="1"/>
  <c r="B12"/>
  <c r="J12" s="1"/>
  <c r="B11"/>
  <c r="K11" s="1"/>
  <c r="B10"/>
  <c r="K10" s="1"/>
  <c r="U9"/>
  <c r="W9" s="1"/>
  <c r="B9"/>
  <c r="K9" s="1"/>
  <c r="B8"/>
  <c r="K8" s="1"/>
  <c r="B7"/>
  <c r="I7" s="1"/>
  <c r="B6"/>
  <c r="J6" s="1"/>
  <c r="W18"/>
  <c r="W19" s="1"/>
  <c r="B5"/>
  <c r="K5" s="1"/>
  <c r="W10"/>
  <c r="V10"/>
  <c r="U10"/>
  <c r="T10"/>
  <c r="B4"/>
  <c r="H27" l="1"/>
  <c r="K4"/>
  <c r="H4"/>
  <c r="I27"/>
  <c r="J84"/>
  <c r="H108"/>
  <c r="J13"/>
  <c r="H60"/>
  <c r="J80"/>
  <c r="I108"/>
  <c r="I11"/>
  <c r="I20"/>
  <c r="J22"/>
  <c r="H31"/>
  <c r="I60"/>
  <c r="J108"/>
  <c r="U18"/>
  <c r="U19" s="1"/>
  <c r="J14"/>
  <c r="I17"/>
  <c r="J20"/>
  <c r="J60"/>
  <c r="H9"/>
  <c r="J11"/>
  <c r="H26"/>
  <c r="I30"/>
  <c r="I31"/>
  <c r="J33"/>
  <c r="H44"/>
  <c r="J52"/>
  <c r="I64"/>
  <c r="I76"/>
  <c r="H92"/>
  <c r="J100"/>
  <c r="I112"/>
  <c r="I9"/>
  <c r="H14"/>
  <c r="H23"/>
  <c r="J30"/>
  <c r="J31"/>
  <c r="I44"/>
  <c r="J64"/>
  <c r="I80"/>
  <c r="I92"/>
  <c r="J112"/>
  <c r="I5"/>
  <c r="J9"/>
  <c r="H11"/>
  <c r="I14"/>
  <c r="H20"/>
  <c r="I23"/>
  <c r="J25"/>
  <c r="I48"/>
  <c r="J68"/>
  <c r="I96"/>
  <c r="V11"/>
  <c r="T11"/>
  <c r="I4"/>
  <c r="H8"/>
  <c r="H10"/>
  <c r="H16"/>
  <c r="J21"/>
  <c r="I26"/>
  <c r="H35"/>
  <c r="H40"/>
  <c r="H56"/>
  <c r="H72"/>
  <c r="H88"/>
  <c r="H104"/>
  <c r="H120"/>
  <c r="J4"/>
  <c r="H5"/>
  <c r="J7"/>
  <c r="I8"/>
  <c r="I10"/>
  <c r="I16"/>
  <c r="K21"/>
  <c r="H22"/>
  <c r="J26"/>
  <c r="J29"/>
  <c r="I34"/>
  <c r="I35"/>
  <c r="I40"/>
  <c r="J44"/>
  <c r="H52"/>
  <c r="I56"/>
  <c r="H68"/>
  <c r="I72"/>
  <c r="J76"/>
  <c r="H84"/>
  <c r="I88"/>
  <c r="J92"/>
  <c r="H100"/>
  <c r="I104"/>
  <c r="H116"/>
  <c r="I120"/>
  <c r="J8"/>
  <c r="J10"/>
  <c r="I13"/>
  <c r="J16"/>
  <c r="H17"/>
  <c r="J18"/>
  <c r="I22"/>
  <c r="J34"/>
  <c r="J35"/>
  <c r="J40"/>
  <c r="H48"/>
  <c r="I52"/>
  <c r="J56"/>
  <c r="H64"/>
  <c r="I68"/>
  <c r="J72"/>
  <c r="H80"/>
  <c r="I84"/>
  <c r="J88"/>
  <c r="H96"/>
  <c r="I100"/>
  <c r="J104"/>
  <c r="H112"/>
  <c r="I116"/>
  <c r="J120"/>
  <c r="W11"/>
  <c r="U11"/>
  <c r="K12"/>
  <c r="K19"/>
  <c r="H12"/>
  <c r="T12"/>
  <c r="H15"/>
  <c r="K18"/>
  <c r="H19"/>
  <c r="J24"/>
  <c r="I24"/>
  <c r="H24"/>
  <c r="J32"/>
  <c r="I32"/>
  <c r="H32"/>
  <c r="J37"/>
  <c r="K37"/>
  <c r="I37"/>
  <c r="H37"/>
  <c r="I42"/>
  <c r="K42"/>
  <c r="J42"/>
  <c r="H42"/>
  <c r="H47"/>
  <c r="K47"/>
  <c r="J47"/>
  <c r="I47"/>
  <c r="J53"/>
  <c r="K53"/>
  <c r="I53"/>
  <c r="H53"/>
  <c r="I58"/>
  <c r="K58"/>
  <c r="J58"/>
  <c r="H58"/>
  <c r="H63"/>
  <c r="K63"/>
  <c r="J63"/>
  <c r="I63"/>
  <c r="J69"/>
  <c r="K69"/>
  <c r="I69"/>
  <c r="H69"/>
  <c r="I74"/>
  <c r="K74"/>
  <c r="J74"/>
  <c r="H74"/>
  <c r="H79"/>
  <c r="K79"/>
  <c r="J79"/>
  <c r="I79"/>
  <c r="J85"/>
  <c r="K85"/>
  <c r="I85"/>
  <c r="H85"/>
  <c r="I90"/>
  <c r="K90"/>
  <c r="J90"/>
  <c r="H90"/>
  <c r="H95"/>
  <c r="K95"/>
  <c r="J95"/>
  <c r="I95"/>
  <c r="J101"/>
  <c r="K101"/>
  <c r="I101"/>
  <c r="H101"/>
  <c r="I106"/>
  <c r="K106"/>
  <c r="J106"/>
  <c r="H106"/>
  <c r="H111"/>
  <c r="K111"/>
  <c r="J111"/>
  <c r="I111"/>
  <c r="J117"/>
  <c r="K117"/>
  <c r="I117"/>
  <c r="H117"/>
  <c r="K15"/>
  <c r="K36"/>
  <c r="J36"/>
  <c r="I36"/>
  <c r="H36"/>
  <c r="J41"/>
  <c r="K41"/>
  <c r="I41"/>
  <c r="H41"/>
  <c r="H51"/>
  <c r="K51"/>
  <c r="J51"/>
  <c r="I51"/>
  <c r="J57"/>
  <c r="K57"/>
  <c r="I57"/>
  <c r="H57"/>
  <c r="K7"/>
  <c r="J5"/>
  <c r="I6"/>
  <c r="H7"/>
  <c r="I12"/>
  <c r="K13"/>
  <c r="I15"/>
  <c r="H18"/>
  <c r="I19"/>
  <c r="K24"/>
  <c r="K32"/>
  <c r="I38"/>
  <c r="K38"/>
  <c r="J38"/>
  <c r="H38"/>
  <c r="H43"/>
  <c r="K43"/>
  <c r="J43"/>
  <c r="I43"/>
  <c r="J49"/>
  <c r="K49"/>
  <c r="I49"/>
  <c r="H49"/>
  <c r="I54"/>
  <c r="K54"/>
  <c r="J54"/>
  <c r="H54"/>
  <c r="H59"/>
  <c r="K59"/>
  <c r="J59"/>
  <c r="I59"/>
  <c r="J65"/>
  <c r="K65"/>
  <c r="I65"/>
  <c r="H65"/>
  <c r="I70"/>
  <c r="K70"/>
  <c r="J70"/>
  <c r="H70"/>
  <c r="H75"/>
  <c r="K75"/>
  <c r="J75"/>
  <c r="I75"/>
  <c r="J81"/>
  <c r="K81"/>
  <c r="I81"/>
  <c r="H81"/>
  <c r="I86"/>
  <c r="K86"/>
  <c r="J86"/>
  <c r="H86"/>
  <c r="H91"/>
  <c r="K91"/>
  <c r="J91"/>
  <c r="I91"/>
  <c r="J97"/>
  <c r="K97"/>
  <c r="I97"/>
  <c r="H97"/>
  <c r="I102"/>
  <c r="K102"/>
  <c r="J102"/>
  <c r="H102"/>
  <c r="H107"/>
  <c r="K107"/>
  <c r="J107"/>
  <c r="I107"/>
  <c r="J113"/>
  <c r="K113"/>
  <c r="I113"/>
  <c r="H113"/>
  <c r="I118"/>
  <c r="K118"/>
  <c r="J118"/>
  <c r="H118"/>
  <c r="K6"/>
  <c r="J28"/>
  <c r="I28"/>
  <c r="H28"/>
  <c r="I46"/>
  <c r="K46"/>
  <c r="J46"/>
  <c r="H46"/>
  <c r="I62"/>
  <c r="K62"/>
  <c r="J62"/>
  <c r="H62"/>
  <c r="H67"/>
  <c r="K67"/>
  <c r="J67"/>
  <c r="I67"/>
  <c r="J73"/>
  <c r="K73"/>
  <c r="I73"/>
  <c r="H73"/>
  <c r="I78"/>
  <c r="K78"/>
  <c r="J78"/>
  <c r="H78"/>
  <c r="H83"/>
  <c r="K83"/>
  <c r="J83"/>
  <c r="I83"/>
  <c r="J89"/>
  <c r="K89"/>
  <c r="I89"/>
  <c r="H89"/>
  <c r="I94"/>
  <c r="K94"/>
  <c r="J94"/>
  <c r="H94"/>
  <c r="H99"/>
  <c r="K99"/>
  <c r="J99"/>
  <c r="I99"/>
  <c r="J105"/>
  <c r="K105"/>
  <c r="I105"/>
  <c r="H105"/>
  <c r="I110"/>
  <c r="K110"/>
  <c r="J110"/>
  <c r="H110"/>
  <c r="H115"/>
  <c r="K115"/>
  <c r="J115"/>
  <c r="I115"/>
  <c r="H6"/>
  <c r="I21"/>
  <c r="H39"/>
  <c r="K39"/>
  <c r="J39"/>
  <c r="I39"/>
  <c r="J45"/>
  <c r="K45"/>
  <c r="I45"/>
  <c r="H45"/>
  <c r="I50"/>
  <c r="K50"/>
  <c r="J50"/>
  <c r="H50"/>
  <c r="H55"/>
  <c r="K55"/>
  <c r="J55"/>
  <c r="I55"/>
  <c r="J61"/>
  <c r="K61"/>
  <c r="I61"/>
  <c r="H61"/>
  <c r="I66"/>
  <c r="K66"/>
  <c r="J66"/>
  <c r="H66"/>
  <c r="H71"/>
  <c r="K71"/>
  <c r="J71"/>
  <c r="I71"/>
  <c r="J77"/>
  <c r="K77"/>
  <c r="I77"/>
  <c r="H77"/>
  <c r="I82"/>
  <c r="K82"/>
  <c r="J82"/>
  <c r="H82"/>
  <c r="H87"/>
  <c r="K87"/>
  <c r="J87"/>
  <c r="I87"/>
  <c r="J93"/>
  <c r="K93"/>
  <c r="I93"/>
  <c r="H93"/>
  <c r="I98"/>
  <c r="K98"/>
  <c r="J98"/>
  <c r="H98"/>
  <c r="H103"/>
  <c r="K103"/>
  <c r="J103"/>
  <c r="I103"/>
  <c r="J109"/>
  <c r="K109"/>
  <c r="I109"/>
  <c r="H109"/>
  <c r="I114"/>
  <c r="K114"/>
  <c r="J114"/>
  <c r="H114"/>
  <c r="H119"/>
  <c r="K119"/>
  <c r="J119"/>
  <c r="I119"/>
  <c r="K25"/>
  <c r="K29"/>
  <c r="K33"/>
  <c r="J23"/>
  <c r="H25"/>
  <c r="J27"/>
  <c r="H29"/>
  <c r="K30"/>
  <c r="H33"/>
  <c r="K34"/>
  <c r="T13" l="1"/>
  <c r="W13"/>
  <c r="V13"/>
  <c r="U13"/>
</calcChain>
</file>

<file path=xl/comments1.xml><?xml version="1.0" encoding="utf-8"?>
<comments xmlns="http://schemas.openxmlformats.org/spreadsheetml/2006/main">
  <authors>
    <author>igor mariano</author>
  </authors>
  <commentList>
    <comment ref="H1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Caso em algum momento haja erro na medida ponto a ponto da medida anterior, basta considerar a medida anterior válida. 
</t>
        </r>
        <r>
          <rPr>
            <b/>
            <sz val="9"/>
            <color indexed="81"/>
            <rFont val="Segoe UI"/>
            <family val="2"/>
          </rPr>
          <t>Então em caso de linhas com medidas erradas deve-se mudar a fórmula dessa célulasmanualmente</t>
        </r>
      </text>
    </comment>
    <comment ref="B2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  <comment ref="S5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=MEDIA com as células de vigília</t>
        </r>
      </text>
    </comment>
    <comment ref="S6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vigília</t>
        </r>
      </text>
    </comment>
    <comment ref="S7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=MEDIA com as células de sono</t>
        </r>
      </text>
    </comment>
    <comment ref="S8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sono</t>
        </r>
      </text>
    </comment>
    <comment ref="V9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Quantidade de horas de vigília</t>
        </r>
      </text>
    </comment>
    <comment ref="S13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Taxa de variação real</t>
        </r>
        <r>
          <rPr>
            <sz val="9"/>
            <color indexed="81"/>
            <rFont val="Segoe UI"/>
            <family val="2"/>
          </rPr>
          <t xml:space="preserve">
Soma dos valores de Variação Real da PAS,PAD,PAM ou FC / Tempo tt</t>
        </r>
      </text>
    </comment>
    <comment ref="S15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Carga presssórica = percentual de medidas acima de determinado valor padrão.
</t>
        </r>
        <r>
          <rPr>
            <b/>
            <sz val="9"/>
            <color indexed="81"/>
            <rFont val="Segoe UI"/>
            <family val="2"/>
          </rPr>
          <t>PREENCHER NAS FÓRMULAS COM AS CÉLULAS DE VIGÍLIA E SONO DE CADA VOLUNTÁRIA</t>
        </r>
      </text>
    </comment>
    <comment ref="S20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Aumento abrupto da pressão arterial matinal: 
</t>
        </r>
        <r>
          <rPr>
            <b/>
            <sz val="9"/>
            <color indexed="81"/>
            <rFont val="Segoe UI"/>
            <family val="2"/>
          </rPr>
          <t xml:space="preserve">Média das duas primeiras horas ao acordar - menor valor no sono
</t>
        </r>
        <r>
          <rPr>
            <sz val="9"/>
            <color indexed="81"/>
            <rFont val="Segoe UI"/>
            <family val="2"/>
          </rPr>
          <t>Pegar valores da tabela de Hora em Hora</t>
        </r>
      </text>
    </comment>
    <comment ref="S21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Rigidez arterial. Como fazer: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1 -</t>
        </r>
        <r>
          <rPr>
            <sz val="9"/>
            <color indexed="81"/>
            <rFont val="Segoe UI"/>
            <family val="2"/>
          </rPr>
          <t xml:space="preserve"> Marcar todos os pontos de PAS e PAD da tabela ponto a ponto do MAPA e fazer um grafico de disperção simples
</t>
        </r>
        <r>
          <rPr>
            <b/>
            <sz val="9"/>
            <color indexed="81"/>
            <rFont val="Segoe UI"/>
            <family val="2"/>
          </rPr>
          <t>2 -</t>
        </r>
        <r>
          <rPr>
            <sz val="9"/>
            <color indexed="81"/>
            <rFont val="Segoe UI"/>
            <family val="2"/>
          </rPr>
          <t xml:space="preserve"> Clicar com o botão direito em cima dos pontos de dispersão no gráfico e clicar em adicionar linha de tendência
</t>
        </r>
        <r>
          <rPr>
            <b/>
            <sz val="9"/>
            <color indexed="81"/>
            <rFont val="Segoe UI"/>
            <family val="2"/>
          </rPr>
          <t>3 -</t>
        </r>
        <r>
          <rPr>
            <sz val="9"/>
            <color indexed="81"/>
            <rFont val="Segoe UI"/>
            <family val="2"/>
          </rPr>
          <t xml:space="preserve"> nas opções que a parecem escolher a linha de tendência linear e Exibir a Equação no gráfico
</t>
        </r>
        <r>
          <rPr>
            <b/>
            <sz val="9"/>
            <color indexed="81"/>
            <rFont val="Segoe UI"/>
            <family val="2"/>
          </rPr>
          <t>4 -</t>
        </r>
        <r>
          <rPr>
            <sz val="9"/>
            <color indexed="81"/>
            <rFont val="Segoe UI"/>
            <family val="2"/>
          </rPr>
          <t xml:space="preserve"> Vai aparecer uma equação no gráfico do tipo y = ax + b
</t>
        </r>
        <r>
          <rPr>
            <b/>
            <sz val="9"/>
            <color indexed="81"/>
            <rFont val="Segoe UI"/>
            <family val="2"/>
          </rPr>
          <t>5 -</t>
        </r>
        <r>
          <rPr>
            <sz val="9"/>
            <color indexed="81"/>
            <rFont val="Segoe UI"/>
            <family val="2"/>
          </rPr>
          <t xml:space="preserve"> Pegue o valor "a", ou seja, o valor que acompanha o "x" na equação e use na fórmula ao lado =(1-a)</t>
        </r>
      </text>
    </comment>
  </commentList>
</comments>
</file>

<file path=xl/comments2.xml><?xml version="1.0" encoding="utf-8"?>
<comments xmlns="http://schemas.openxmlformats.org/spreadsheetml/2006/main">
  <authors>
    <author>igor mariano</author>
  </authors>
  <commentList>
    <comment ref="H1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Caso em algum momento haja erro na medida ponto a ponto da medida anterior, basta considerar a medida anterior válida. 
</t>
        </r>
        <r>
          <rPr>
            <b/>
            <sz val="9"/>
            <color indexed="81"/>
            <rFont val="Segoe UI"/>
            <family val="2"/>
          </rPr>
          <t>Então em caso de linhas com medidas erradas deve-se mudar a fórmula dessa célulasmanualmente</t>
        </r>
      </text>
    </comment>
    <comment ref="B2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  <comment ref="S5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=MEDIA com as células de vigília</t>
        </r>
      </text>
    </comment>
    <comment ref="S6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vigília</t>
        </r>
      </text>
    </comment>
    <comment ref="S7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=MEDIA com as células de sono</t>
        </r>
      </text>
    </comment>
    <comment ref="S8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sono</t>
        </r>
      </text>
    </comment>
    <comment ref="V9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Quantidade de horas de vigília</t>
        </r>
      </text>
    </comment>
    <comment ref="S13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Taxa de variação real</t>
        </r>
        <r>
          <rPr>
            <sz val="9"/>
            <color indexed="81"/>
            <rFont val="Segoe UI"/>
            <family val="2"/>
          </rPr>
          <t xml:space="preserve">
Soma dos valores de Variação Real da PAS,PAD,PAM ou FC / Tempo tt</t>
        </r>
      </text>
    </comment>
    <comment ref="S15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Carga presssórica = percentual de medidas acima de determinado valor padrão.
</t>
        </r>
        <r>
          <rPr>
            <b/>
            <sz val="9"/>
            <color indexed="81"/>
            <rFont val="Segoe UI"/>
            <family val="2"/>
          </rPr>
          <t>PREENCHER NAS FÓRMULAS COM AS CÉLULAS DE VIGÍLIA E SONO DE CADA VOLUNTÁRIA</t>
        </r>
      </text>
    </comment>
    <comment ref="S20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Aumento abrupto da pressão arterial matinal: 
</t>
        </r>
        <r>
          <rPr>
            <b/>
            <sz val="9"/>
            <color indexed="81"/>
            <rFont val="Segoe UI"/>
            <family val="2"/>
          </rPr>
          <t xml:space="preserve">Média das duas primeiras horas ao acordar - menor valor no sono
</t>
        </r>
        <r>
          <rPr>
            <sz val="9"/>
            <color indexed="81"/>
            <rFont val="Segoe UI"/>
            <family val="2"/>
          </rPr>
          <t>Pegar valores da tabela de Hora em Hora</t>
        </r>
      </text>
    </comment>
    <comment ref="S21" authorId="0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Rigidez arterial. Como fazer: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1 -</t>
        </r>
        <r>
          <rPr>
            <sz val="9"/>
            <color indexed="81"/>
            <rFont val="Segoe UI"/>
            <family val="2"/>
          </rPr>
          <t xml:space="preserve"> Marcar todos os pontos de PAS e PAD da tabela ponto a ponto do MAPA e fazer um grafico de disperção simples
</t>
        </r>
        <r>
          <rPr>
            <b/>
            <sz val="9"/>
            <color indexed="81"/>
            <rFont val="Segoe UI"/>
            <family val="2"/>
          </rPr>
          <t>2 -</t>
        </r>
        <r>
          <rPr>
            <sz val="9"/>
            <color indexed="81"/>
            <rFont val="Segoe UI"/>
            <family val="2"/>
          </rPr>
          <t xml:space="preserve"> Clicar com o botão direito em cima dos pontos de dispersão no gráfico e clicar em adicionar linha de tendência
</t>
        </r>
        <r>
          <rPr>
            <b/>
            <sz val="9"/>
            <color indexed="81"/>
            <rFont val="Segoe UI"/>
            <family val="2"/>
          </rPr>
          <t>3 -</t>
        </r>
        <r>
          <rPr>
            <sz val="9"/>
            <color indexed="81"/>
            <rFont val="Segoe UI"/>
            <family val="2"/>
          </rPr>
          <t xml:space="preserve"> nas opções que a parecem escolher a linha de tendência linear e Exibir a Equação no gráfico
</t>
        </r>
        <r>
          <rPr>
            <b/>
            <sz val="9"/>
            <color indexed="81"/>
            <rFont val="Segoe UI"/>
            <family val="2"/>
          </rPr>
          <t>4 -</t>
        </r>
        <r>
          <rPr>
            <sz val="9"/>
            <color indexed="81"/>
            <rFont val="Segoe UI"/>
            <family val="2"/>
          </rPr>
          <t xml:space="preserve"> Vai aparecer uma equação no gráfico do tipo y = ax + b
</t>
        </r>
        <r>
          <rPr>
            <b/>
            <sz val="9"/>
            <color indexed="81"/>
            <rFont val="Segoe UI"/>
            <family val="2"/>
          </rPr>
          <t>5 -</t>
        </r>
        <r>
          <rPr>
            <sz val="9"/>
            <color indexed="81"/>
            <rFont val="Segoe UI"/>
            <family val="2"/>
          </rPr>
          <t xml:space="preserve"> Pegue o valor "a", ou seja, o valor que acompanha o "x" na equação e use na fórmula ao lado =(1-a)</t>
        </r>
      </text>
    </comment>
  </commentList>
</comments>
</file>

<file path=xl/sharedStrings.xml><?xml version="1.0" encoding="utf-8"?>
<sst xmlns="http://schemas.openxmlformats.org/spreadsheetml/2006/main" count="174" uniqueCount="65">
  <si>
    <t>MAPA - Ponto a ponto</t>
  </si>
  <si>
    <t>Variação real</t>
  </si>
  <si>
    <t>MAPA - média de Hora a Hora</t>
  </si>
  <si>
    <t>Hora</t>
  </si>
  <si>
    <t>Δ tempo</t>
  </si>
  <si>
    <t>Comentários</t>
  </si>
  <si>
    <t>PAS</t>
  </si>
  <si>
    <t>PAD</t>
  </si>
  <si>
    <t xml:space="preserve">PAM </t>
  </si>
  <si>
    <t>Fc</t>
  </si>
  <si>
    <t>PAM</t>
  </si>
  <si>
    <t/>
  </si>
  <si>
    <t>Média 24h</t>
  </si>
  <si>
    <t>DP 24h</t>
  </si>
  <si>
    <t>Média Vigilia</t>
  </si>
  <si>
    <t>DP Vigília</t>
  </si>
  <si>
    <t>Média Sono</t>
  </si>
  <si>
    <t>DP Sono</t>
  </si>
  <si>
    <t>Horas de sono</t>
  </si>
  <si>
    <t>Horas de vigilia</t>
  </si>
  <si>
    <t>DP dn</t>
  </si>
  <si>
    <t>Tempo tt (min)</t>
  </si>
  <si>
    <t>ARV</t>
  </si>
  <si>
    <t>Carga %</t>
  </si>
  <si>
    <t>PAS 24h &gt;130</t>
  </si>
  <si>
    <t>PAD 24h &gt;80</t>
  </si>
  <si>
    <t>PAS Vigilia &gt;135</t>
  </si>
  <si>
    <t>PAD Vigilia &gt;85</t>
  </si>
  <si>
    <t>PAS Sono &gt;120</t>
  </si>
  <si>
    <t>PAD Sono &gt;70</t>
  </si>
  <si>
    <t>Desceno noturno</t>
  </si>
  <si>
    <t>Desceno noturno relativo</t>
  </si>
  <si>
    <t>Morning Surge</t>
  </si>
  <si>
    <t>AASI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</si>
  <si>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</si>
  <si>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</si>
  <si>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</si>
  <si>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</si>
  <si>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</si>
  <si>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</si>
  <si>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</si>
  <si>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</si>
  <si>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</si>
  <si>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</si>
  <si>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</si>
  <si>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</si>
  <si>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</si>
  <si>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</si>
  <si>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</si>
  <si>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</si>
  <si>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</si>
  <si>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</si>
  <si>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</si>
  <si>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</si>
  <si>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</si>
  <si>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</si>
  <si>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</si>
  <si>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</si>
  <si>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Dormiu:</t>
  </si>
  <si>
    <t>Acordou:</t>
  </si>
  <si>
    <t>Aqui eu precisava que as fórmulas se ajustassem de acordo com o horario de Vigilia (periodo acordado) e Sono das colunas D a G. Acho que podemos usar os horarios que dormiu (T1)e acordou (V1)</t>
  </si>
  <si>
    <t>&lt;--</t>
  </si>
  <si>
    <t>Aqui eu precisava da média das 2 primeira horas após acordar (Caso haja apenas 1 hora após acordar, considerar apenas ela) dos valores de PAS (coluna N) e PAD (coluna O) na tabela hora a hora MENOS o menor valor de sono (entre T1 e V1) da coluna respectiva (N ou O)</t>
  </si>
  <si>
    <t>Aqui eu precisava fazer a conta =1-a     sendo "a" a constante da formula "y = ax + b" que representa a curva de  tendencia linear mostrada no grafico de dispersão abaixo. Para entender melhor dar uma olhada na Aba Preenchido.</t>
  </si>
  <si>
    <t>Aqui eu precisava que as fórmulas se ajustassem de acordo com o horario de Vigilia (periodo acordado) e Sono das colunas D a G. Acho que podemos usar os horarios que dormiu (T1) e acordou (V1). Lembre que como o individuo dorme a noite, o periodo de vigília tem 2 segmentos: antes e depois de dormir.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</si>
</sst>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0.0%"/>
    <numFmt numFmtId="165" formatCode="[$-F400]h:mm:ss\ AM/PM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lightUp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8">
    <xf numFmtId="0" fontId="0" fillId="0" borderId="0" xfId="0"/>
    <xf numFmtId="0" fontId="0" fillId="0" borderId="0" xfId="0" applyFill="1" applyAlignment="1">
      <alignment horizontal="center"/>
    </xf>
    <xf numFmtId="20" fontId="0" fillId="0" borderId="17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0" borderId="0" xfId="1" applyNumberFormat="1" applyFont="1" applyFill="1" applyAlignment="1" applyProtection="1">
      <alignment horizontal="center"/>
      <protection locked="0"/>
    </xf>
    <xf numFmtId="0" fontId="0" fillId="0" borderId="0" xfId="1" applyNumberFormat="1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center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0" fillId="2" borderId="17" xfId="0" quotePrefix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2" fontId="0" fillId="0" borderId="0" xfId="0" applyNumberFormat="1" applyFill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2" fillId="0" borderId="19" xfId="0" applyFont="1" applyFill="1" applyBorder="1" applyAlignment="1" applyProtection="1">
      <alignment horizontal="center"/>
      <protection locked="0"/>
    </xf>
    <xf numFmtId="0" fontId="0" fillId="0" borderId="18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" fontId="0" fillId="0" borderId="18" xfId="0" applyNumberFormat="1" applyFill="1" applyBorder="1" applyAlignment="1" applyProtection="1">
      <alignment horizontal="center"/>
    </xf>
    <xf numFmtId="0" fontId="5" fillId="0" borderId="25" xfId="0" applyFont="1" applyFill="1" applyBorder="1" applyAlignment="1" applyProtection="1">
      <alignment horizontal="center" vertical="center"/>
      <protection locked="0"/>
    </xf>
    <xf numFmtId="0" fontId="5" fillId="0" borderId="27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29" xfId="0" applyFont="1" applyFill="1" applyBorder="1" applyAlignment="1" applyProtection="1">
      <alignment horizontal="center" vertical="center"/>
      <protection locked="0"/>
    </xf>
    <xf numFmtId="165" fontId="0" fillId="0" borderId="6" xfId="0" applyNumberFormat="1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2" fillId="3" borderId="23" xfId="0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 applyProtection="1">
      <alignment horizontal="center" vertical="center"/>
      <protection locked="0"/>
    </xf>
    <xf numFmtId="0" fontId="2" fillId="3" borderId="25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24" xfId="0" applyFont="1" applyFill="1" applyBorder="1" applyAlignment="1" applyProtection="1">
      <alignment horizontal="center" vertical="center"/>
      <protection locked="0"/>
    </xf>
    <xf numFmtId="0" fontId="2" fillId="0" borderId="25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2" fontId="0" fillId="0" borderId="7" xfId="0" applyNumberFormat="1" applyFill="1" applyBorder="1" applyAlignment="1" applyProtection="1">
      <alignment horizontal="center"/>
    </xf>
    <xf numFmtId="2" fontId="0" fillId="0" borderId="8" xfId="0" applyNumberFormat="1" applyFill="1" applyBorder="1" applyAlignment="1" applyProtection="1">
      <alignment horizontal="center"/>
    </xf>
    <xf numFmtId="2" fontId="0" fillId="0" borderId="9" xfId="0" applyNumberFormat="1" applyFill="1" applyBorder="1" applyAlignment="1" applyProtection="1">
      <alignment horizontal="center"/>
    </xf>
    <xf numFmtId="2" fontId="0" fillId="0" borderId="19" xfId="0" applyNumberFormat="1" applyFill="1" applyBorder="1" applyAlignment="1" applyProtection="1">
      <alignment horizontal="center"/>
    </xf>
    <xf numFmtId="2" fontId="0" fillId="0" borderId="20" xfId="0" applyNumberFormat="1" applyFill="1" applyBorder="1" applyAlignment="1" applyProtection="1">
      <alignment horizontal="center"/>
    </xf>
    <xf numFmtId="2" fontId="0" fillId="0" borderId="21" xfId="0" applyNumberFormat="1" applyFill="1" applyBorder="1" applyAlignment="1" applyProtection="1">
      <alignment horizontal="center"/>
    </xf>
    <xf numFmtId="2" fontId="2" fillId="0" borderId="0" xfId="0" applyNumberFormat="1" applyFont="1" applyFill="1" applyBorder="1" applyAlignment="1" applyProtection="1">
      <alignment horizontal="center"/>
    </xf>
    <xf numFmtId="2" fontId="0" fillId="0" borderId="0" xfId="0" applyNumberFormat="1" applyFill="1" applyBorder="1" applyAlignment="1" applyProtection="1">
      <alignment horizontal="center"/>
    </xf>
    <xf numFmtId="2" fontId="0" fillId="0" borderId="18" xfId="0" applyNumberFormat="1" applyFill="1" applyBorder="1" applyAlignment="1" applyProtection="1">
      <alignment horizontal="center"/>
    </xf>
    <xf numFmtId="2" fontId="0" fillId="2" borderId="0" xfId="0" applyNumberFormat="1" applyFill="1" applyBorder="1" applyAlignment="1" applyProtection="1">
      <alignment horizontal="center"/>
    </xf>
    <xf numFmtId="2" fontId="0" fillId="2" borderId="18" xfId="0" applyNumberFormat="1" applyFill="1" applyBorder="1" applyAlignment="1" applyProtection="1">
      <alignment horizontal="center"/>
    </xf>
    <xf numFmtId="2" fontId="2" fillId="0" borderId="8" xfId="0" applyNumberFormat="1" applyFont="1" applyFill="1" applyBorder="1" applyAlignment="1" applyProtection="1">
      <alignment horizontal="center" vertical="center"/>
    </xf>
    <xf numFmtId="164" fontId="0" fillId="0" borderId="8" xfId="2" applyNumberFormat="1" applyFont="1" applyFill="1" applyBorder="1" applyAlignment="1" applyProtection="1">
      <alignment horizontal="center"/>
    </xf>
    <xf numFmtId="2" fontId="2" fillId="0" borderId="7" xfId="0" applyNumberFormat="1" applyFont="1" applyFill="1" applyBorder="1" applyAlignment="1" applyProtection="1">
      <alignment horizontal="center" vertical="center"/>
    </xf>
    <xf numFmtId="164" fontId="0" fillId="0" borderId="9" xfId="2" applyNumberFormat="1" applyFont="1" applyFill="1" applyBorder="1" applyAlignment="1" applyProtection="1">
      <alignment horizontal="center"/>
    </xf>
    <xf numFmtId="2" fontId="2" fillId="3" borderId="0" xfId="0" applyNumberFormat="1" applyFont="1" applyFill="1" applyBorder="1" applyAlignment="1" applyProtection="1">
      <alignment horizontal="center" vertical="center"/>
    </xf>
    <xf numFmtId="164" fontId="0" fillId="0" borderId="0" xfId="2" applyNumberFormat="1" applyFont="1" applyFill="1" applyBorder="1" applyAlignment="1" applyProtection="1">
      <alignment horizontal="center"/>
    </xf>
    <xf numFmtId="2" fontId="2" fillId="3" borderId="17" xfId="0" applyNumberFormat="1" applyFont="1" applyFill="1" applyBorder="1" applyAlignment="1" applyProtection="1">
      <alignment horizontal="center" vertical="center"/>
    </xf>
    <xf numFmtId="164" fontId="0" fillId="0" borderId="18" xfId="2" applyNumberFormat="1" applyFont="1" applyFill="1" applyBorder="1" applyAlignment="1" applyProtection="1">
      <alignment horizontal="center"/>
    </xf>
    <xf numFmtId="2" fontId="2" fillId="3" borderId="20" xfId="0" applyNumberFormat="1" applyFont="1" applyFill="1" applyBorder="1" applyAlignment="1" applyProtection="1">
      <alignment horizontal="center" vertical="center"/>
    </xf>
    <xf numFmtId="164" fontId="0" fillId="0" borderId="20" xfId="2" applyNumberFormat="1" applyFont="1" applyFill="1" applyBorder="1" applyAlignment="1" applyProtection="1">
      <alignment horizontal="center"/>
    </xf>
    <xf numFmtId="2" fontId="2" fillId="3" borderId="19" xfId="0" applyNumberFormat="1" applyFont="1" applyFill="1" applyBorder="1" applyAlignment="1" applyProtection="1">
      <alignment horizontal="center" vertical="center"/>
    </xf>
    <xf numFmtId="164" fontId="0" fillId="0" borderId="21" xfId="2" applyNumberFormat="1" applyFont="1" applyFill="1" applyBorder="1" applyAlignment="1" applyProtection="1">
      <alignment horizontal="center"/>
    </xf>
    <xf numFmtId="0" fontId="2" fillId="0" borderId="26" xfId="0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center"/>
    </xf>
    <xf numFmtId="2" fontId="2" fillId="0" borderId="7" xfId="0" applyNumberFormat="1" applyFont="1" applyFill="1" applyBorder="1" applyAlignment="1" applyProtection="1">
      <alignment horizontal="center"/>
    </xf>
    <xf numFmtId="0" fontId="2" fillId="0" borderId="25" xfId="0" applyFont="1" applyFill="1" applyBorder="1" applyAlignment="1" applyProtection="1">
      <alignment horizontal="center" vertical="center"/>
    </xf>
    <xf numFmtId="2" fontId="2" fillId="0" borderId="20" xfId="0" applyNumberFormat="1" applyFont="1" applyFill="1" applyBorder="1" applyAlignment="1" applyProtection="1">
      <alignment horizontal="center"/>
    </xf>
    <xf numFmtId="2" fontId="2" fillId="0" borderId="19" xfId="0" applyNumberFormat="1" applyFont="1" applyFill="1" applyBorder="1" applyAlignment="1" applyProtection="1">
      <alignment horizontal="center"/>
    </xf>
    <xf numFmtId="0" fontId="2" fillId="3" borderId="16" xfId="0" applyFont="1" applyFill="1" applyBorder="1" applyAlignment="1" applyProtection="1">
      <alignment horizontal="center" vertical="center"/>
    </xf>
    <xf numFmtId="2" fontId="2" fillId="0" borderId="4" xfId="0" applyNumberFormat="1" applyFont="1" applyFill="1" applyBorder="1" applyAlignment="1" applyProtection="1">
      <alignment horizontal="center"/>
    </xf>
    <xf numFmtId="2" fontId="0" fillId="0" borderId="5" xfId="0" applyNumberFormat="1" applyFill="1" applyBorder="1" applyAlignment="1" applyProtection="1">
      <alignment horizontal="center"/>
    </xf>
    <xf numFmtId="2" fontId="0" fillId="0" borderId="6" xfId="0" applyNumberFormat="1" applyFill="1" applyBorder="1" applyAlignment="1" applyProtection="1">
      <alignment horizontal="center"/>
    </xf>
    <xf numFmtId="2" fontId="0" fillId="2" borderId="5" xfId="0" applyNumberFormat="1" applyFill="1" applyBorder="1" applyAlignment="1" applyProtection="1">
      <alignment horizontal="center"/>
    </xf>
    <xf numFmtId="2" fontId="0" fillId="2" borderId="6" xfId="0" applyNumberFormat="1" applyFill="1" applyBorder="1" applyAlignment="1" applyProtection="1">
      <alignment horizontal="center"/>
    </xf>
    <xf numFmtId="2" fontId="0" fillId="4" borderId="7" xfId="0" applyNumberFormat="1" applyFill="1" applyBorder="1" applyAlignment="1" applyProtection="1">
      <alignment horizontal="center"/>
    </xf>
    <xf numFmtId="2" fontId="0" fillId="4" borderId="8" xfId="0" applyNumberFormat="1" applyFill="1" applyBorder="1" applyAlignment="1" applyProtection="1">
      <alignment horizontal="center"/>
    </xf>
    <xf numFmtId="2" fontId="0" fillId="4" borderId="9" xfId="0" applyNumberFormat="1" applyFill="1" applyBorder="1" applyAlignment="1" applyProtection="1">
      <alignment horizontal="center"/>
    </xf>
    <xf numFmtId="2" fontId="0" fillId="4" borderId="19" xfId="0" applyNumberFormat="1" applyFill="1" applyBorder="1" applyAlignment="1" applyProtection="1">
      <alignment horizontal="center"/>
    </xf>
    <xf numFmtId="2" fontId="0" fillId="4" borderId="20" xfId="0" applyNumberFormat="1" applyFill="1" applyBorder="1" applyAlignment="1" applyProtection="1">
      <alignment horizontal="center"/>
    </xf>
    <xf numFmtId="2" fontId="0" fillId="4" borderId="21" xfId="0" applyNumberFormat="1" applyFill="1" applyBorder="1" applyAlignment="1" applyProtection="1">
      <alignment horizontal="center"/>
    </xf>
    <xf numFmtId="20" fontId="0" fillId="0" borderId="0" xfId="0" applyNumberFormat="1" applyFill="1" applyAlignment="1" applyProtection="1">
      <alignment horizontal="center"/>
      <protection locked="0"/>
    </xf>
    <xf numFmtId="20" fontId="0" fillId="8" borderId="0" xfId="0" applyNumberFormat="1" applyFill="1" applyAlignment="1">
      <alignment horizontal="center" vertical="center"/>
    </xf>
    <xf numFmtId="0" fontId="0" fillId="8" borderId="0" xfId="1" applyNumberFormat="1" applyFont="1" applyFill="1" applyAlignment="1" applyProtection="1">
      <alignment horizontal="center"/>
    </xf>
    <xf numFmtId="0" fontId="0" fillId="8" borderId="18" xfId="0" applyFill="1" applyBorder="1" applyAlignment="1" applyProtection="1">
      <alignment horizontal="center"/>
      <protection locked="0"/>
    </xf>
    <xf numFmtId="0" fontId="0" fillId="8" borderId="0" xfId="0" applyFill="1" applyAlignment="1">
      <alignment horizontal="center" vertical="center"/>
    </xf>
    <xf numFmtId="1" fontId="0" fillId="8" borderId="0" xfId="0" applyNumberFormat="1" applyFill="1" applyAlignment="1">
      <alignment horizontal="center" vertical="center"/>
    </xf>
    <xf numFmtId="0" fontId="0" fillId="8" borderId="17" xfId="0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18" xfId="0" applyFill="1" applyBorder="1" applyAlignment="1" applyProtection="1">
      <alignment horizontal="center"/>
    </xf>
    <xf numFmtId="20" fontId="0" fillId="8" borderId="17" xfId="0" applyNumberFormat="1" applyFill="1" applyBorder="1" applyAlignment="1">
      <alignment horizontal="center" vertical="center"/>
    </xf>
    <xf numFmtId="0" fontId="0" fillId="8" borderId="17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8" borderId="18" xfId="0" applyFill="1" applyBorder="1" applyAlignment="1">
      <alignment horizontal="center"/>
    </xf>
    <xf numFmtId="0" fontId="9" fillId="7" borderId="7" xfId="0" applyFont="1" applyFill="1" applyBorder="1" applyAlignment="1" applyProtection="1">
      <alignment horizontal="center" vertical="center" wrapText="1"/>
      <protection locked="0"/>
    </xf>
    <xf numFmtId="0" fontId="9" fillId="7" borderId="8" xfId="0" applyFont="1" applyFill="1" applyBorder="1" applyAlignment="1" applyProtection="1">
      <alignment horizontal="center" vertical="center" wrapText="1"/>
      <protection locked="0"/>
    </xf>
    <xf numFmtId="0" fontId="9" fillId="7" borderId="9" xfId="0" applyFont="1" applyFill="1" applyBorder="1" applyAlignment="1" applyProtection="1">
      <alignment horizontal="center" vertical="center" wrapText="1"/>
      <protection locked="0"/>
    </xf>
    <xf numFmtId="0" fontId="9" fillId="7" borderId="17" xfId="0" applyFont="1" applyFill="1" applyBorder="1" applyAlignment="1" applyProtection="1">
      <alignment horizontal="center" vertical="center" wrapText="1"/>
      <protection locked="0"/>
    </xf>
    <xf numFmtId="0" fontId="9" fillId="7" borderId="0" xfId="0" applyFont="1" applyFill="1" applyBorder="1" applyAlignment="1" applyProtection="1">
      <alignment horizontal="center" vertical="center" wrapText="1"/>
      <protection locked="0"/>
    </xf>
    <xf numFmtId="0" fontId="9" fillId="7" borderId="18" xfId="0" applyFont="1" applyFill="1" applyBorder="1" applyAlignment="1" applyProtection="1">
      <alignment horizontal="center" vertical="center" wrapText="1"/>
      <protection locked="0"/>
    </xf>
    <xf numFmtId="0" fontId="9" fillId="7" borderId="19" xfId="0" applyFont="1" applyFill="1" applyBorder="1" applyAlignment="1" applyProtection="1">
      <alignment horizontal="center" vertical="center" wrapText="1"/>
      <protection locked="0"/>
    </xf>
    <xf numFmtId="0" fontId="9" fillId="7" borderId="20" xfId="0" applyFont="1" applyFill="1" applyBorder="1" applyAlignment="1" applyProtection="1">
      <alignment horizontal="center" vertical="center" wrapText="1"/>
      <protection locked="0"/>
    </xf>
    <xf numFmtId="0" fontId="9" fillId="7" borderId="21" xfId="0" applyFont="1" applyFill="1" applyBorder="1" applyAlignment="1" applyProtection="1">
      <alignment horizontal="center" vertical="center" wrapText="1"/>
      <protection locked="0"/>
    </xf>
    <xf numFmtId="0" fontId="8" fillId="4" borderId="7" xfId="0" applyFont="1" applyFill="1" applyBorder="1" applyAlignment="1" applyProtection="1">
      <alignment horizontal="center" vertical="center" wrapText="1"/>
      <protection locked="0"/>
    </xf>
    <xf numFmtId="0" fontId="8" fillId="4" borderId="8" xfId="0" applyFont="1" applyFill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 applyProtection="1">
      <alignment horizontal="center" vertical="center" wrapText="1"/>
      <protection locked="0"/>
    </xf>
    <xf numFmtId="0" fontId="8" fillId="4" borderId="17" xfId="0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Border="1" applyAlignment="1" applyProtection="1">
      <alignment horizontal="center" vertical="center" wrapText="1"/>
      <protection locked="0"/>
    </xf>
    <xf numFmtId="0" fontId="8" fillId="4" borderId="18" xfId="0" applyFont="1" applyFill="1" applyBorder="1" applyAlignment="1" applyProtection="1">
      <alignment horizontal="center" vertical="center" wrapText="1"/>
      <protection locked="0"/>
    </xf>
    <xf numFmtId="0" fontId="8" fillId="4" borderId="19" xfId="0" applyFont="1" applyFill="1" applyBorder="1" applyAlignment="1" applyProtection="1">
      <alignment horizontal="center" vertical="center" wrapText="1"/>
      <protection locked="0"/>
    </xf>
    <xf numFmtId="0" fontId="8" fillId="4" borderId="20" xfId="0" applyFont="1" applyFill="1" applyBorder="1" applyAlignment="1" applyProtection="1">
      <alignment horizontal="center" vertical="center" wrapText="1"/>
      <protection locked="0"/>
    </xf>
    <xf numFmtId="0" fontId="8" fillId="4" borderId="21" xfId="0" applyFont="1" applyFill="1" applyBorder="1" applyAlignment="1" applyProtection="1">
      <alignment horizontal="center" vertical="center" wrapText="1"/>
      <protection locked="0"/>
    </xf>
    <xf numFmtId="0" fontId="8" fillId="6" borderId="7" xfId="0" applyFont="1" applyFill="1" applyBorder="1" applyAlignment="1" applyProtection="1">
      <alignment horizontal="center" vertical="center" wrapText="1"/>
      <protection locked="0"/>
    </xf>
    <xf numFmtId="0" fontId="8" fillId="6" borderId="8" xfId="0" applyFont="1" applyFill="1" applyBorder="1" applyAlignment="1" applyProtection="1">
      <alignment horizontal="center" vertical="center" wrapText="1"/>
      <protection locked="0"/>
    </xf>
    <xf numFmtId="0" fontId="8" fillId="6" borderId="9" xfId="0" applyFont="1" applyFill="1" applyBorder="1" applyAlignment="1" applyProtection="1">
      <alignment horizontal="center" vertical="center" wrapText="1"/>
      <protection locked="0"/>
    </xf>
    <xf numFmtId="0" fontId="8" fillId="6" borderId="17" xfId="0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Border="1" applyAlignment="1" applyProtection="1">
      <alignment horizontal="center" vertical="center" wrapText="1"/>
      <protection locked="0"/>
    </xf>
    <xf numFmtId="0" fontId="8" fillId="6" borderId="18" xfId="0" applyFont="1" applyFill="1" applyBorder="1" applyAlignment="1" applyProtection="1">
      <alignment horizontal="center" vertical="center" wrapText="1"/>
      <protection locked="0"/>
    </xf>
    <xf numFmtId="0" fontId="8" fillId="6" borderId="19" xfId="0" applyFont="1" applyFill="1" applyBorder="1" applyAlignment="1" applyProtection="1">
      <alignment horizontal="center" vertical="center" wrapText="1"/>
      <protection locked="0"/>
    </xf>
    <xf numFmtId="0" fontId="8" fillId="6" borderId="20" xfId="0" applyFont="1" applyFill="1" applyBorder="1" applyAlignment="1" applyProtection="1">
      <alignment horizontal="center" vertical="center" wrapText="1"/>
      <protection locked="0"/>
    </xf>
    <xf numFmtId="0" fontId="8" fillId="6" borderId="2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7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8" fillId="5" borderId="7" xfId="0" applyFont="1" applyFill="1" applyBorder="1" applyAlignment="1" applyProtection="1">
      <alignment horizontal="center" vertical="center" wrapText="1"/>
      <protection locked="0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8" fillId="5" borderId="9" xfId="0" applyFont="1" applyFill="1" applyBorder="1" applyAlignment="1" applyProtection="1">
      <alignment horizontal="center" vertical="center" wrapText="1"/>
      <protection locked="0"/>
    </xf>
    <xf numFmtId="0" fontId="8" fillId="5" borderId="17" xfId="0" applyFont="1" applyFill="1" applyBorder="1" applyAlignment="1" applyProtection="1">
      <alignment horizontal="center" vertical="center" wrapText="1"/>
      <protection locked="0"/>
    </xf>
    <xf numFmtId="0" fontId="8" fillId="5" borderId="0" xfId="0" applyFont="1" applyFill="1" applyBorder="1" applyAlignment="1" applyProtection="1">
      <alignment horizontal="center" vertical="center" wrapText="1"/>
      <protection locked="0"/>
    </xf>
    <xf numFmtId="0" fontId="8" fillId="5" borderId="18" xfId="0" applyFont="1" applyFill="1" applyBorder="1" applyAlignment="1" applyProtection="1">
      <alignment horizontal="center" vertical="center" wrapText="1"/>
      <protection locked="0"/>
    </xf>
    <xf numFmtId="0" fontId="8" fillId="5" borderId="19" xfId="0" applyFont="1" applyFill="1" applyBorder="1" applyAlignment="1" applyProtection="1">
      <alignment horizontal="center" vertical="center" wrapText="1"/>
      <protection locked="0"/>
    </xf>
    <xf numFmtId="0" fontId="8" fillId="5" borderId="20" xfId="0" applyFont="1" applyFill="1" applyBorder="1" applyAlignment="1" applyProtection="1">
      <alignment horizontal="center" vertical="center" wrapText="1"/>
      <protection locked="0"/>
    </xf>
    <xf numFmtId="0" fontId="8" fillId="5" borderId="21" xfId="0" applyFont="1" applyFill="1" applyBorder="1" applyAlignment="1" applyProtection="1">
      <alignment horizontal="center" vertical="center" wrapText="1"/>
      <protection locked="0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0" fillId="0" borderId="19" xfId="0" applyFill="1" applyBorder="1" applyAlignment="1">
      <alignment horizontal="center"/>
    </xf>
    <xf numFmtId="0" fontId="0" fillId="0" borderId="20" xfId="1" applyNumberFormat="1" applyFont="1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  <protection locked="0"/>
    </xf>
    <xf numFmtId="0" fontId="0" fillId="0" borderId="20" xfId="0" applyFill="1" applyBorder="1" applyAlignment="1">
      <alignment horizontal="center"/>
    </xf>
    <xf numFmtId="0" fontId="0" fillId="0" borderId="19" xfId="0" applyFill="1" applyBorder="1" applyAlignment="1" applyProtection="1">
      <alignment horizontal="center"/>
    </xf>
    <xf numFmtId="164" fontId="0" fillId="5" borderId="8" xfId="2" applyNumberFormat="1" applyFont="1" applyFill="1" applyBorder="1" applyAlignment="1" applyProtection="1">
      <alignment horizontal="center"/>
    </xf>
    <xf numFmtId="164" fontId="0" fillId="5" borderId="0" xfId="2" applyNumberFormat="1" applyFont="1" applyFill="1" applyBorder="1" applyAlignment="1" applyProtection="1">
      <alignment horizontal="center"/>
    </xf>
    <xf numFmtId="164" fontId="0" fillId="5" borderId="20" xfId="2" applyNumberFormat="1" applyFont="1" applyFill="1" applyBorder="1" applyAlignment="1" applyProtection="1">
      <alignment horizontal="center"/>
    </xf>
    <xf numFmtId="164" fontId="0" fillId="5" borderId="9" xfId="2" applyNumberFormat="1" applyFont="1" applyFill="1" applyBorder="1" applyAlignment="1" applyProtection="1">
      <alignment horizontal="center"/>
    </xf>
    <xf numFmtId="164" fontId="0" fillId="5" borderId="18" xfId="2" applyNumberFormat="1" applyFont="1" applyFill="1" applyBorder="1" applyAlignment="1" applyProtection="1">
      <alignment horizontal="center"/>
    </xf>
    <xf numFmtId="164" fontId="0" fillId="5" borderId="21" xfId="2" applyNumberFormat="1" applyFont="1" applyFill="1" applyBorder="1" applyAlignment="1" applyProtection="1">
      <alignment horizontal="center"/>
    </xf>
    <xf numFmtId="2" fontId="0" fillId="7" borderId="5" xfId="0" applyNumberFormat="1" applyFill="1" applyBorder="1" applyAlignment="1" applyProtection="1">
      <alignment horizontal="center"/>
    </xf>
  </cellXfs>
  <cellStyles count="3">
    <cellStyle name="Normal" xfId="0" builtinId="0"/>
    <cellStyle name="Porcentagem" xfId="2" builtinId="5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plotArea>
      <c:layout/>
      <c:scatterChart>
        <c:scatterStyle val="lineMarker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3895231846019303E-2"/>
                  <c:y val="-0.203854986876640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'Modelo Preenchido'!$D$3:$D$68</c:f>
              <c:numCache>
                <c:formatCode>General</c:formatCode>
                <c:ptCount val="66"/>
                <c:pt idx="0">
                  <c:v>119</c:v>
                </c:pt>
                <c:pt idx="1">
                  <c:v>122</c:v>
                </c:pt>
                <c:pt idx="2">
                  <c:v>136</c:v>
                </c:pt>
                <c:pt idx="3">
                  <c:v>126</c:v>
                </c:pt>
                <c:pt idx="4">
                  <c:v>124</c:v>
                </c:pt>
                <c:pt idx="5">
                  <c:v>113</c:v>
                </c:pt>
                <c:pt idx="6">
                  <c:v>115</c:v>
                </c:pt>
                <c:pt idx="7">
                  <c:v>128</c:v>
                </c:pt>
                <c:pt idx="8">
                  <c:v>130</c:v>
                </c:pt>
                <c:pt idx="9">
                  <c:v>121</c:v>
                </c:pt>
                <c:pt idx="10">
                  <c:v>133</c:v>
                </c:pt>
                <c:pt idx="11">
                  <c:v>116</c:v>
                </c:pt>
                <c:pt idx="12">
                  <c:v>148</c:v>
                </c:pt>
                <c:pt idx="13">
                  <c:v>126</c:v>
                </c:pt>
                <c:pt idx="14">
                  <c:v>131</c:v>
                </c:pt>
                <c:pt idx="15">
                  <c:v>141</c:v>
                </c:pt>
                <c:pt idx="16">
                  <c:v>121</c:v>
                </c:pt>
                <c:pt idx="17">
                  <c:v>120</c:v>
                </c:pt>
                <c:pt idx="18">
                  <c:v>131</c:v>
                </c:pt>
                <c:pt idx="19">
                  <c:v>128</c:v>
                </c:pt>
                <c:pt idx="20">
                  <c:v>136</c:v>
                </c:pt>
                <c:pt idx="21">
                  <c:v>117</c:v>
                </c:pt>
                <c:pt idx="22">
                  <c:v>117</c:v>
                </c:pt>
                <c:pt idx="23">
                  <c:v>116</c:v>
                </c:pt>
                <c:pt idx="24">
                  <c:v>117</c:v>
                </c:pt>
                <c:pt idx="25">
                  <c:v>118</c:v>
                </c:pt>
                <c:pt idx="26">
                  <c:v>132</c:v>
                </c:pt>
                <c:pt idx="27">
                  <c:v>128</c:v>
                </c:pt>
                <c:pt idx="28">
                  <c:v>124</c:v>
                </c:pt>
                <c:pt idx="29">
                  <c:v>125</c:v>
                </c:pt>
                <c:pt idx="30">
                  <c:v>106</c:v>
                </c:pt>
                <c:pt idx="31">
                  <c:v>119</c:v>
                </c:pt>
                <c:pt idx="32">
                  <c:v>103</c:v>
                </c:pt>
                <c:pt idx="33">
                  <c:v>121</c:v>
                </c:pt>
                <c:pt idx="34">
                  <c:v>106</c:v>
                </c:pt>
                <c:pt idx="35">
                  <c:v>114</c:v>
                </c:pt>
                <c:pt idx="36">
                  <c:v>112</c:v>
                </c:pt>
                <c:pt idx="37">
                  <c:v>113</c:v>
                </c:pt>
                <c:pt idx="38">
                  <c:v>104</c:v>
                </c:pt>
                <c:pt idx="39">
                  <c:v>133</c:v>
                </c:pt>
                <c:pt idx="40">
                  <c:v>123</c:v>
                </c:pt>
                <c:pt idx="41">
                  <c:v>132</c:v>
                </c:pt>
                <c:pt idx="42">
                  <c:v>117</c:v>
                </c:pt>
                <c:pt idx="43">
                  <c:v>119</c:v>
                </c:pt>
                <c:pt idx="44">
                  <c:v>118</c:v>
                </c:pt>
                <c:pt idx="45">
                  <c:v>91</c:v>
                </c:pt>
                <c:pt idx="46">
                  <c:v>89</c:v>
                </c:pt>
                <c:pt idx="47">
                  <c:v>90</c:v>
                </c:pt>
                <c:pt idx="48">
                  <c:v>100</c:v>
                </c:pt>
                <c:pt idx="49">
                  <c:v>103</c:v>
                </c:pt>
                <c:pt idx="50">
                  <c:v>110</c:v>
                </c:pt>
                <c:pt idx="51">
                  <c:v>102</c:v>
                </c:pt>
                <c:pt idx="52">
                  <c:v>96</c:v>
                </c:pt>
                <c:pt idx="53">
                  <c:v>87</c:v>
                </c:pt>
                <c:pt idx="54">
                  <c:v>94</c:v>
                </c:pt>
                <c:pt idx="55">
                  <c:v>109</c:v>
                </c:pt>
                <c:pt idx="56">
                  <c:v>113</c:v>
                </c:pt>
                <c:pt idx="57">
                  <c:v>108</c:v>
                </c:pt>
                <c:pt idx="58">
                  <c:v>94</c:v>
                </c:pt>
                <c:pt idx="59">
                  <c:v>94</c:v>
                </c:pt>
                <c:pt idx="60">
                  <c:v>93</c:v>
                </c:pt>
                <c:pt idx="61">
                  <c:v>104</c:v>
                </c:pt>
                <c:pt idx="62">
                  <c:v>99</c:v>
                </c:pt>
                <c:pt idx="63">
                  <c:v>124</c:v>
                </c:pt>
                <c:pt idx="64">
                  <c:v>99</c:v>
                </c:pt>
                <c:pt idx="65">
                  <c:v>102</c:v>
                </c:pt>
              </c:numCache>
            </c:numRef>
          </c:xVal>
          <c:yVal>
            <c:numRef>
              <c:f>'Modelo Preenchido'!$E$3:$E$68</c:f>
              <c:numCache>
                <c:formatCode>0</c:formatCode>
                <c:ptCount val="66"/>
                <c:pt idx="0">
                  <c:v>89</c:v>
                </c:pt>
                <c:pt idx="1">
                  <c:v>86</c:v>
                </c:pt>
                <c:pt idx="2" formatCode="General">
                  <c:v>95</c:v>
                </c:pt>
                <c:pt idx="3" formatCode="General">
                  <c:v>82</c:v>
                </c:pt>
                <c:pt idx="4" formatCode="General">
                  <c:v>87</c:v>
                </c:pt>
                <c:pt idx="5" formatCode="General">
                  <c:v>78</c:v>
                </c:pt>
                <c:pt idx="6" formatCode="General">
                  <c:v>80</c:v>
                </c:pt>
                <c:pt idx="7" formatCode="General">
                  <c:v>80</c:v>
                </c:pt>
                <c:pt idx="8" formatCode="General">
                  <c:v>90</c:v>
                </c:pt>
                <c:pt idx="9" formatCode="General">
                  <c:v>91</c:v>
                </c:pt>
                <c:pt idx="10" formatCode="General">
                  <c:v>91</c:v>
                </c:pt>
                <c:pt idx="11" formatCode="General">
                  <c:v>86</c:v>
                </c:pt>
                <c:pt idx="12" formatCode="General">
                  <c:v>93</c:v>
                </c:pt>
                <c:pt idx="13" formatCode="General">
                  <c:v>88</c:v>
                </c:pt>
                <c:pt idx="14" formatCode="General">
                  <c:v>80</c:v>
                </c:pt>
                <c:pt idx="15" formatCode="General">
                  <c:v>93</c:v>
                </c:pt>
                <c:pt idx="16">
                  <c:v>78</c:v>
                </c:pt>
                <c:pt idx="17">
                  <c:v>83</c:v>
                </c:pt>
                <c:pt idx="18">
                  <c:v>86</c:v>
                </c:pt>
                <c:pt idx="19">
                  <c:v>78</c:v>
                </c:pt>
                <c:pt idx="20">
                  <c:v>73</c:v>
                </c:pt>
                <c:pt idx="21">
                  <c:v>75</c:v>
                </c:pt>
                <c:pt idx="22">
                  <c:v>72</c:v>
                </c:pt>
                <c:pt idx="23">
                  <c:v>75</c:v>
                </c:pt>
                <c:pt idx="24">
                  <c:v>82</c:v>
                </c:pt>
                <c:pt idx="25">
                  <c:v>59</c:v>
                </c:pt>
                <c:pt idx="26">
                  <c:v>89</c:v>
                </c:pt>
                <c:pt idx="27">
                  <c:v>80</c:v>
                </c:pt>
                <c:pt idx="28">
                  <c:v>86</c:v>
                </c:pt>
                <c:pt idx="29">
                  <c:v>77</c:v>
                </c:pt>
                <c:pt idx="30">
                  <c:v>71</c:v>
                </c:pt>
                <c:pt idx="31">
                  <c:v>84</c:v>
                </c:pt>
                <c:pt idx="32">
                  <c:v>71</c:v>
                </c:pt>
                <c:pt idx="33">
                  <c:v>79</c:v>
                </c:pt>
                <c:pt idx="34">
                  <c:v>72</c:v>
                </c:pt>
                <c:pt idx="35">
                  <c:v>78</c:v>
                </c:pt>
                <c:pt idx="36">
                  <c:v>70</c:v>
                </c:pt>
                <c:pt idx="37">
                  <c:v>78</c:v>
                </c:pt>
                <c:pt idx="38">
                  <c:v>72</c:v>
                </c:pt>
                <c:pt idx="39">
                  <c:v>89</c:v>
                </c:pt>
                <c:pt idx="40">
                  <c:v>86</c:v>
                </c:pt>
                <c:pt idx="41">
                  <c:v>81</c:v>
                </c:pt>
                <c:pt idx="42">
                  <c:v>77</c:v>
                </c:pt>
                <c:pt idx="43">
                  <c:v>87</c:v>
                </c:pt>
                <c:pt idx="44">
                  <c:v>89</c:v>
                </c:pt>
                <c:pt idx="45">
                  <c:v>52</c:v>
                </c:pt>
                <c:pt idx="46">
                  <c:v>45</c:v>
                </c:pt>
                <c:pt idx="47">
                  <c:v>51</c:v>
                </c:pt>
                <c:pt idx="48" formatCode="General">
                  <c:v>77</c:v>
                </c:pt>
                <c:pt idx="49" formatCode="General">
                  <c:v>68</c:v>
                </c:pt>
                <c:pt idx="50" formatCode="General">
                  <c:v>64</c:v>
                </c:pt>
                <c:pt idx="51" formatCode="General">
                  <c:v>66</c:v>
                </c:pt>
                <c:pt idx="52" formatCode="General">
                  <c:v>58</c:v>
                </c:pt>
                <c:pt idx="53" formatCode="General">
                  <c:v>54</c:v>
                </c:pt>
                <c:pt idx="54" formatCode="General">
                  <c:v>58</c:v>
                </c:pt>
                <c:pt idx="55" formatCode="General">
                  <c:v>66</c:v>
                </c:pt>
                <c:pt idx="56" formatCode="General">
                  <c:v>68</c:v>
                </c:pt>
                <c:pt idx="57" formatCode="General">
                  <c:v>70</c:v>
                </c:pt>
                <c:pt idx="58" formatCode="General">
                  <c:v>64</c:v>
                </c:pt>
                <c:pt idx="59" formatCode="General">
                  <c:v>66</c:v>
                </c:pt>
                <c:pt idx="60" formatCode="General">
                  <c:v>59</c:v>
                </c:pt>
                <c:pt idx="61" formatCode="General">
                  <c:v>63</c:v>
                </c:pt>
                <c:pt idx="62" formatCode="General">
                  <c:v>59</c:v>
                </c:pt>
                <c:pt idx="63" formatCode="General">
                  <c:v>80</c:v>
                </c:pt>
                <c:pt idx="64" formatCode="General">
                  <c:v>64</c:v>
                </c:pt>
                <c:pt idx="65" formatCode="General">
                  <c:v>68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1-3104-44E7-A318-A17C510D897F}"/>
            </c:ext>
          </c:extLst>
        </c:ser>
        <c:axId val="86715008"/>
        <c:axId val="86729088"/>
      </c:scatterChart>
      <c:valAx>
        <c:axId val="86715008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6729088"/>
        <c:crosses val="autoZero"/>
        <c:crossBetween val="midCat"/>
      </c:valAx>
      <c:valAx>
        <c:axId val="86729088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6715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title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plotArea>
      <c:layout/>
      <c:scatterChart>
        <c:scatterStyle val="lineMarker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3895231846019303E-2"/>
                  <c:y val="-0.203854986876640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'Preenchido (Original)'!$D$3:$D$68</c:f>
              <c:numCache>
                <c:formatCode>General</c:formatCode>
                <c:ptCount val="66"/>
                <c:pt idx="0">
                  <c:v>119</c:v>
                </c:pt>
                <c:pt idx="1">
                  <c:v>122</c:v>
                </c:pt>
                <c:pt idx="2">
                  <c:v>136</c:v>
                </c:pt>
                <c:pt idx="3">
                  <c:v>126</c:v>
                </c:pt>
                <c:pt idx="4">
                  <c:v>124</c:v>
                </c:pt>
                <c:pt idx="5">
                  <c:v>113</c:v>
                </c:pt>
                <c:pt idx="6">
                  <c:v>115</c:v>
                </c:pt>
                <c:pt idx="7">
                  <c:v>128</c:v>
                </c:pt>
                <c:pt idx="8">
                  <c:v>130</c:v>
                </c:pt>
                <c:pt idx="9">
                  <c:v>121</c:v>
                </c:pt>
                <c:pt idx="10">
                  <c:v>133</c:v>
                </c:pt>
                <c:pt idx="11">
                  <c:v>116</c:v>
                </c:pt>
                <c:pt idx="12">
                  <c:v>148</c:v>
                </c:pt>
                <c:pt idx="13">
                  <c:v>126</c:v>
                </c:pt>
                <c:pt idx="14">
                  <c:v>131</c:v>
                </c:pt>
                <c:pt idx="15">
                  <c:v>141</c:v>
                </c:pt>
                <c:pt idx="16">
                  <c:v>121</c:v>
                </c:pt>
                <c:pt idx="17">
                  <c:v>120</c:v>
                </c:pt>
                <c:pt idx="18">
                  <c:v>131</c:v>
                </c:pt>
                <c:pt idx="19">
                  <c:v>128</c:v>
                </c:pt>
                <c:pt idx="20">
                  <c:v>136</c:v>
                </c:pt>
                <c:pt idx="21">
                  <c:v>117</c:v>
                </c:pt>
                <c:pt idx="22">
                  <c:v>117</c:v>
                </c:pt>
                <c:pt idx="23">
                  <c:v>116</c:v>
                </c:pt>
                <c:pt idx="24">
                  <c:v>117</c:v>
                </c:pt>
                <c:pt idx="25">
                  <c:v>118</c:v>
                </c:pt>
                <c:pt idx="26">
                  <c:v>132</c:v>
                </c:pt>
                <c:pt idx="27">
                  <c:v>128</c:v>
                </c:pt>
                <c:pt idx="28">
                  <c:v>124</c:v>
                </c:pt>
                <c:pt idx="29">
                  <c:v>125</c:v>
                </c:pt>
                <c:pt idx="30">
                  <c:v>106</c:v>
                </c:pt>
                <c:pt idx="31">
                  <c:v>119</c:v>
                </c:pt>
                <c:pt idx="32">
                  <c:v>103</c:v>
                </c:pt>
                <c:pt idx="33">
                  <c:v>121</c:v>
                </c:pt>
                <c:pt idx="34">
                  <c:v>106</c:v>
                </c:pt>
                <c:pt idx="35">
                  <c:v>114</c:v>
                </c:pt>
                <c:pt idx="36">
                  <c:v>112</c:v>
                </c:pt>
                <c:pt idx="37">
                  <c:v>113</c:v>
                </c:pt>
                <c:pt idx="38">
                  <c:v>104</c:v>
                </c:pt>
                <c:pt idx="39">
                  <c:v>133</c:v>
                </c:pt>
                <c:pt idx="40">
                  <c:v>123</c:v>
                </c:pt>
                <c:pt idx="41">
                  <c:v>132</c:v>
                </c:pt>
                <c:pt idx="42">
                  <c:v>117</c:v>
                </c:pt>
                <c:pt idx="43">
                  <c:v>119</c:v>
                </c:pt>
                <c:pt idx="44">
                  <c:v>118</c:v>
                </c:pt>
                <c:pt idx="45">
                  <c:v>91</c:v>
                </c:pt>
                <c:pt idx="46">
                  <c:v>89</c:v>
                </c:pt>
                <c:pt idx="47">
                  <c:v>90</c:v>
                </c:pt>
                <c:pt idx="48">
                  <c:v>100</c:v>
                </c:pt>
                <c:pt idx="49">
                  <c:v>103</c:v>
                </c:pt>
                <c:pt idx="50">
                  <c:v>110</c:v>
                </c:pt>
                <c:pt idx="51">
                  <c:v>102</c:v>
                </c:pt>
                <c:pt idx="52">
                  <c:v>96</c:v>
                </c:pt>
                <c:pt idx="53">
                  <c:v>87</c:v>
                </c:pt>
                <c:pt idx="54">
                  <c:v>94</c:v>
                </c:pt>
                <c:pt idx="55">
                  <c:v>109</c:v>
                </c:pt>
                <c:pt idx="56">
                  <c:v>113</c:v>
                </c:pt>
                <c:pt idx="57">
                  <c:v>108</c:v>
                </c:pt>
                <c:pt idx="58">
                  <c:v>94</c:v>
                </c:pt>
                <c:pt idx="59">
                  <c:v>94</c:v>
                </c:pt>
                <c:pt idx="60">
                  <c:v>93</c:v>
                </c:pt>
                <c:pt idx="61">
                  <c:v>104</c:v>
                </c:pt>
                <c:pt idx="62">
                  <c:v>99</c:v>
                </c:pt>
                <c:pt idx="63">
                  <c:v>124</c:v>
                </c:pt>
                <c:pt idx="64">
                  <c:v>99</c:v>
                </c:pt>
                <c:pt idx="65">
                  <c:v>102</c:v>
                </c:pt>
              </c:numCache>
            </c:numRef>
          </c:xVal>
          <c:yVal>
            <c:numRef>
              <c:f>'Preenchido (Original)'!$E$3:$E$68</c:f>
              <c:numCache>
                <c:formatCode>0</c:formatCode>
                <c:ptCount val="66"/>
                <c:pt idx="0">
                  <c:v>89</c:v>
                </c:pt>
                <c:pt idx="1">
                  <c:v>86</c:v>
                </c:pt>
                <c:pt idx="2" formatCode="General">
                  <c:v>95</c:v>
                </c:pt>
                <c:pt idx="3" formatCode="General">
                  <c:v>82</c:v>
                </c:pt>
                <c:pt idx="4" formatCode="General">
                  <c:v>87</c:v>
                </c:pt>
                <c:pt idx="5" formatCode="General">
                  <c:v>78</c:v>
                </c:pt>
                <c:pt idx="6" formatCode="General">
                  <c:v>80</c:v>
                </c:pt>
                <c:pt idx="7" formatCode="General">
                  <c:v>80</c:v>
                </c:pt>
                <c:pt idx="8" formatCode="General">
                  <c:v>90</c:v>
                </c:pt>
                <c:pt idx="9" formatCode="General">
                  <c:v>91</c:v>
                </c:pt>
                <c:pt idx="10" formatCode="General">
                  <c:v>91</c:v>
                </c:pt>
                <c:pt idx="11" formatCode="General">
                  <c:v>86</c:v>
                </c:pt>
                <c:pt idx="12" formatCode="General">
                  <c:v>93</c:v>
                </c:pt>
                <c:pt idx="13" formatCode="General">
                  <c:v>88</c:v>
                </c:pt>
                <c:pt idx="14" formatCode="General">
                  <c:v>80</c:v>
                </c:pt>
                <c:pt idx="15" formatCode="General">
                  <c:v>93</c:v>
                </c:pt>
                <c:pt idx="16">
                  <c:v>78</c:v>
                </c:pt>
                <c:pt idx="17">
                  <c:v>83</c:v>
                </c:pt>
                <c:pt idx="18">
                  <c:v>86</c:v>
                </c:pt>
                <c:pt idx="19">
                  <c:v>78</c:v>
                </c:pt>
                <c:pt idx="20">
                  <c:v>73</c:v>
                </c:pt>
                <c:pt idx="21">
                  <c:v>75</c:v>
                </c:pt>
                <c:pt idx="22">
                  <c:v>72</c:v>
                </c:pt>
                <c:pt idx="23">
                  <c:v>75</c:v>
                </c:pt>
                <c:pt idx="24">
                  <c:v>82</c:v>
                </c:pt>
                <c:pt idx="25">
                  <c:v>59</c:v>
                </c:pt>
                <c:pt idx="26">
                  <c:v>89</c:v>
                </c:pt>
                <c:pt idx="27">
                  <c:v>80</c:v>
                </c:pt>
                <c:pt idx="28">
                  <c:v>86</c:v>
                </c:pt>
                <c:pt idx="29">
                  <c:v>77</c:v>
                </c:pt>
                <c:pt idx="30">
                  <c:v>71</c:v>
                </c:pt>
                <c:pt idx="31">
                  <c:v>84</c:v>
                </c:pt>
                <c:pt idx="32">
                  <c:v>71</c:v>
                </c:pt>
                <c:pt idx="33">
                  <c:v>79</c:v>
                </c:pt>
                <c:pt idx="34">
                  <c:v>72</c:v>
                </c:pt>
                <c:pt idx="35">
                  <c:v>78</c:v>
                </c:pt>
                <c:pt idx="36">
                  <c:v>70</c:v>
                </c:pt>
                <c:pt idx="37">
                  <c:v>78</c:v>
                </c:pt>
                <c:pt idx="38">
                  <c:v>72</c:v>
                </c:pt>
                <c:pt idx="39">
                  <c:v>89</c:v>
                </c:pt>
                <c:pt idx="40">
                  <c:v>86</c:v>
                </c:pt>
                <c:pt idx="41">
                  <c:v>81</c:v>
                </c:pt>
                <c:pt idx="42">
                  <c:v>77</c:v>
                </c:pt>
                <c:pt idx="43">
                  <c:v>87</c:v>
                </c:pt>
                <c:pt idx="44">
                  <c:v>89</c:v>
                </c:pt>
                <c:pt idx="45">
                  <c:v>52</c:v>
                </c:pt>
                <c:pt idx="46">
                  <c:v>45</c:v>
                </c:pt>
                <c:pt idx="47">
                  <c:v>51</c:v>
                </c:pt>
                <c:pt idx="48" formatCode="General">
                  <c:v>77</c:v>
                </c:pt>
                <c:pt idx="49" formatCode="General">
                  <c:v>68</c:v>
                </c:pt>
                <c:pt idx="50" formatCode="General">
                  <c:v>64</c:v>
                </c:pt>
                <c:pt idx="51" formatCode="General">
                  <c:v>66</c:v>
                </c:pt>
                <c:pt idx="52" formatCode="General">
                  <c:v>58</c:v>
                </c:pt>
                <c:pt idx="53" formatCode="General">
                  <c:v>54</c:v>
                </c:pt>
                <c:pt idx="54" formatCode="General">
                  <c:v>58</c:v>
                </c:pt>
                <c:pt idx="55" formatCode="General">
                  <c:v>66</c:v>
                </c:pt>
                <c:pt idx="56" formatCode="General">
                  <c:v>68</c:v>
                </c:pt>
                <c:pt idx="57" formatCode="General">
                  <c:v>70</c:v>
                </c:pt>
                <c:pt idx="58" formatCode="General">
                  <c:v>64</c:v>
                </c:pt>
                <c:pt idx="59" formatCode="General">
                  <c:v>66</c:v>
                </c:pt>
                <c:pt idx="60" formatCode="General">
                  <c:v>59</c:v>
                </c:pt>
                <c:pt idx="61" formatCode="General">
                  <c:v>63</c:v>
                </c:pt>
                <c:pt idx="62" formatCode="General">
                  <c:v>59</c:v>
                </c:pt>
                <c:pt idx="63" formatCode="General">
                  <c:v>80</c:v>
                </c:pt>
                <c:pt idx="64" formatCode="General">
                  <c:v>64</c:v>
                </c:pt>
                <c:pt idx="65" formatCode="General">
                  <c:v>68</c:v>
                </c:pt>
              </c:numCache>
            </c:numRef>
          </c:yVal>
          <c:extLst xmlns:c16r2="http://schemas.microsoft.com/office/drawing/2015/06/chart">
            <c:ext xmlns:c16="http://schemas.microsoft.com/office/drawing/2014/chart" uri="{C3380CC4-5D6E-409C-BE32-E72D297353CC}">
              <c16:uniqueId val="{00000000-0669-401B-A0CE-311F6ECE9929}"/>
            </c:ext>
          </c:extLst>
        </c:ser>
        <c:axId val="94087424"/>
        <c:axId val="94105600"/>
      </c:scatterChart>
      <c:valAx>
        <c:axId val="94087424"/>
        <c:scaling>
          <c:orientation val="minMax"/>
        </c:scaling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4105600"/>
        <c:crosses val="autoZero"/>
        <c:crossBetween val="midCat"/>
      </c:valAx>
      <c:valAx>
        <c:axId val="9410560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4087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21</xdr:row>
      <xdr:rowOff>57150</xdr:rowOff>
    </xdr:from>
    <xdr:to>
      <xdr:col>21</xdr:col>
      <xdr:colOff>933450</xdr:colOff>
      <xdr:row>35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5CDDE304-04A9-4AFB-92EA-2BAF4D0E2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21</xdr:row>
      <xdr:rowOff>57150</xdr:rowOff>
    </xdr:from>
    <xdr:to>
      <xdr:col>21</xdr:col>
      <xdr:colOff>933450</xdr:colOff>
      <xdr:row>35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5CDDE304-04A9-4AFB-92EA-2BAF4D0E2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ilha2"/>
  <dimension ref="A1:AE120"/>
  <sheetViews>
    <sheetView tabSelected="1" topLeftCell="A4" zoomScale="70" zoomScaleNormal="70" workbookViewId="0">
      <selection activeCell="S43" sqref="S43"/>
    </sheetView>
  </sheetViews>
  <sheetFormatPr defaultRowHeight="15"/>
  <cols>
    <col min="3" max="3" width="12.28515625" customWidth="1"/>
    <col min="8" max="8" width="12.42578125" bestFit="1" customWidth="1"/>
    <col min="12" max="12" width="4" customWidth="1"/>
    <col min="13" max="13" width="13.28515625" bestFit="1" customWidth="1"/>
    <col min="18" max="18" width="3.85546875" customWidth="1"/>
    <col min="19" max="19" width="23.85546875" customWidth="1"/>
    <col min="20" max="23" width="15.28515625" customWidth="1"/>
    <col min="24" max="24" width="6.42578125" style="13" customWidth="1"/>
    <col min="25" max="31" width="9.140625" style="13"/>
  </cols>
  <sheetData>
    <row r="1" spans="1:30" s="8" customFormat="1" ht="19.5" thickBot="1">
      <c r="A1" s="138" t="s">
        <v>0</v>
      </c>
      <c r="B1" s="139"/>
      <c r="C1" s="139"/>
      <c r="D1" s="139"/>
      <c r="E1" s="139"/>
      <c r="F1" s="139"/>
      <c r="G1" s="140"/>
      <c r="H1" s="138" t="s">
        <v>1</v>
      </c>
      <c r="I1" s="139"/>
      <c r="J1" s="139"/>
      <c r="K1" s="140"/>
      <c r="M1" s="141" t="s">
        <v>2</v>
      </c>
      <c r="N1" s="142"/>
      <c r="O1" s="142"/>
      <c r="P1" s="142"/>
      <c r="Q1" s="143"/>
      <c r="S1" s="56" t="s">
        <v>58</v>
      </c>
      <c r="T1" s="41">
        <v>0.97916666666666663</v>
      </c>
      <c r="U1" s="56" t="s">
        <v>59</v>
      </c>
      <c r="V1" s="41">
        <v>0.3125</v>
      </c>
      <c r="W1" s="28"/>
    </row>
    <row r="2" spans="1:30" s="13" customFormat="1" ht="15.75" thickBot="1">
      <c r="A2" s="46" t="s">
        <v>3</v>
      </c>
      <c r="B2" s="9" t="s">
        <v>4</v>
      </c>
      <c r="C2" s="55" t="s">
        <v>5</v>
      </c>
      <c r="D2" s="48" t="s">
        <v>6</v>
      </c>
      <c r="E2" s="49" t="s">
        <v>7</v>
      </c>
      <c r="F2" s="49" t="s">
        <v>8</v>
      </c>
      <c r="G2" s="50" t="s">
        <v>9</v>
      </c>
      <c r="H2" s="11" t="s">
        <v>6</v>
      </c>
      <c r="I2" s="10" t="s">
        <v>7</v>
      </c>
      <c r="J2" s="10" t="s">
        <v>8</v>
      </c>
      <c r="K2" s="12" t="s">
        <v>9</v>
      </c>
      <c r="M2" s="14" t="s">
        <v>3</v>
      </c>
      <c r="N2" s="15" t="s">
        <v>6</v>
      </c>
      <c r="O2" s="15" t="s">
        <v>7</v>
      </c>
      <c r="P2" s="15" t="s">
        <v>8</v>
      </c>
      <c r="Q2" s="16" t="s">
        <v>9</v>
      </c>
      <c r="S2" s="37"/>
      <c r="T2" s="38" t="s">
        <v>6</v>
      </c>
      <c r="U2" s="39" t="s">
        <v>7</v>
      </c>
      <c r="V2" s="39" t="s">
        <v>10</v>
      </c>
      <c r="W2" s="40" t="s">
        <v>9</v>
      </c>
    </row>
    <row r="3" spans="1:30" s="13" customFormat="1">
      <c r="A3" s="47">
        <v>0.3659722222222222</v>
      </c>
      <c r="B3" s="5"/>
      <c r="C3" s="17"/>
      <c r="D3" s="51">
        <v>119</v>
      </c>
      <c r="E3" s="52">
        <v>89</v>
      </c>
      <c r="F3" s="52">
        <v>99</v>
      </c>
      <c r="G3" s="52">
        <v>77</v>
      </c>
      <c r="H3" s="19" t="s">
        <v>11</v>
      </c>
      <c r="I3" s="5"/>
      <c r="J3" s="5"/>
      <c r="K3" s="20"/>
      <c r="M3" s="21" t="s">
        <v>34</v>
      </c>
      <c r="N3" s="35" t="str">
        <f t="array" ref="N3">IFERROR(AVERAGE(IF((HOUR($A$3:$A$20)=LEFT($M3,2)*1)*NOT(ISBLANK($A$3:$A$20)),D$3:D$20,"")),"-")</f>
        <v>-</v>
      </c>
      <c r="O3" s="35" t="str">
        <f t="array" ref="O3">IFERROR(AVERAGE(IF((HOUR($A$3:$A$20)=LEFT($M3,2)*1)*NOT(ISBLANK($A$3:$A$20)),E$3:E$20,"")),"-")</f>
        <v>-</v>
      </c>
      <c r="P3" s="35" t="str">
        <f t="array" ref="P3">IFERROR(AVERAGE(IF((HOUR($A$3:$A$20)=LEFT($M3,2)*1)*NOT(ISBLANK($A$3:$A$20)),F$3:F$20,"")),"-")</f>
        <v>-</v>
      </c>
      <c r="Q3" s="36" t="str">
        <f t="array" ref="Q3">IFERROR(AVERAGE(IF((HOUR($A$3:$A$20)=LEFT($M3,2)*1)*NOT(ISBLANK($A$3:$A$20)),G$3:G$20,"")),"-")</f>
        <v>-</v>
      </c>
      <c r="S3" s="22" t="s">
        <v>12</v>
      </c>
      <c r="T3" s="57">
        <f ca="1">AVERAGE(lst_PAS)</f>
        <v>115.15151515151516</v>
      </c>
      <c r="U3" s="58">
        <f ca="1">AVERAGE(lst_PAD)</f>
        <v>75.545454545454547</v>
      </c>
      <c r="V3" s="58">
        <f ca="1">AVERAGE(lst_PAM)</f>
        <v>88.803030303030297</v>
      </c>
      <c r="W3" s="59">
        <f ca="1">AVERAGE(lst_Fc)</f>
        <v>80.196969696969703</v>
      </c>
    </row>
    <row r="4" spans="1:30" s="13" customFormat="1" ht="15.75" thickBot="1">
      <c r="A4" s="47">
        <v>0.37083333333333335</v>
      </c>
      <c r="B4" s="7">
        <f>IF(A4&gt;0,IF(24*60*(A4-A3 + ((A4-A3)&lt;0))&gt;0,24*60*(A4-A3 + ((A4-A3)&lt;0)),""),"")</f>
        <v>7.0000000000000551</v>
      </c>
      <c r="C4" s="17"/>
      <c r="D4" s="51">
        <v>122</v>
      </c>
      <c r="E4" s="52">
        <v>86</v>
      </c>
      <c r="F4" s="52">
        <v>98</v>
      </c>
      <c r="G4" s="52">
        <v>88</v>
      </c>
      <c r="H4" s="31">
        <f>IF($B4="","",(SQRT((D4-D3)*(D4-D3))*$B4))</f>
        <v>21.000000000000163</v>
      </c>
      <c r="I4" s="32">
        <f t="shared" ref="I4:K19" si="0">IF($B4="","",(SQRT((E4-E3)*(E4-E3))*$B4))</f>
        <v>21.000000000000163</v>
      </c>
      <c r="J4" s="32">
        <f t="shared" si="0"/>
        <v>7.0000000000000551</v>
      </c>
      <c r="K4" s="30">
        <f>IF($B4="","",(SQRT((G4-G3)*(G4-G3))*$B4))</f>
        <v>77.000000000000611</v>
      </c>
      <c r="M4" s="21" t="s">
        <v>35</v>
      </c>
      <c r="N4" s="35">
        <f t="array" ref="N4">IFERROR(AVERAGE(IF((HOUR($A$3:$A$20)=LEFT($M4,2)*1)*NOT(ISBLANK($A$3:$A$20)),D$3:D$20,"")),"-")</f>
        <v>120.5</v>
      </c>
      <c r="O4" s="35">
        <f t="array" ref="O4">IFERROR(AVERAGE(IF((HOUR($A$3:$A$20)=LEFT($M4,2)*1)*NOT(ISBLANK($A$3:$A$20)),E$3:E$20,"")),"-")</f>
        <v>87.5</v>
      </c>
      <c r="P4" s="35">
        <f t="array" ref="P4">IFERROR(AVERAGE(IF((HOUR($A$3:$A$20)=LEFT($M4,2)*1)*NOT(ISBLANK($A$3:$A$20)),F$3:F$20,"")),"-")</f>
        <v>98.5</v>
      </c>
      <c r="Q4" s="36">
        <f t="array" ref="Q4">IFERROR(AVERAGE(IF((HOUR($A$3:$A$20)=LEFT($M4,2)*1)*NOT(ISBLANK($A$3:$A$20)),G$3:G$20,"")),"-")</f>
        <v>82.5</v>
      </c>
      <c r="S4" s="24" t="s">
        <v>13</v>
      </c>
      <c r="T4" s="60">
        <f ca="1">STDEV(lst_PAS)</f>
        <v>14.010152828730403</v>
      </c>
      <c r="U4" s="61">
        <f ca="1">STDEV(lst_PAD)</f>
        <v>11.695076963185208</v>
      </c>
      <c r="V4" s="61">
        <f ca="1">STDEV(lst_PAM)</f>
        <v>12.019496593797028</v>
      </c>
      <c r="W4" s="62">
        <f ca="1">STDEV(lst_Fc)</f>
        <v>13.237731268519131</v>
      </c>
    </row>
    <row r="5" spans="1:30" s="13" customFormat="1" ht="15" customHeight="1">
      <c r="A5" s="47">
        <v>0.38125000000000003</v>
      </c>
      <c r="B5" s="7">
        <f t="shared" ref="B5:B68" si="1">IF(A5&gt;0,IF(24*60*(A5-A4 + ((A5-A4)&lt;0))&gt;0,24*60*(A5-A4 + ((A5-A4)&lt;0)),""),"")</f>
        <v>15.000000000000027</v>
      </c>
      <c r="C5" s="17"/>
      <c r="D5" s="51">
        <v>136</v>
      </c>
      <c r="E5" s="51">
        <v>95</v>
      </c>
      <c r="F5" s="51">
        <v>109</v>
      </c>
      <c r="G5" s="51">
        <v>80</v>
      </c>
      <c r="H5" s="31">
        <f t="shared" ref="H5:K68" si="2">IF($B5="","",(SQRT((D5-D4)*(D5-D4))*$B5))</f>
        <v>210.00000000000037</v>
      </c>
      <c r="I5" s="32">
        <f t="shared" si="0"/>
        <v>135.00000000000023</v>
      </c>
      <c r="J5" s="32">
        <f t="shared" si="0"/>
        <v>165.00000000000028</v>
      </c>
      <c r="K5" s="30">
        <f t="shared" si="0"/>
        <v>120.00000000000021</v>
      </c>
      <c r="M5" s="21" t="s">
        <v>36</v>
      </c>
      <c r="N5" s="35">
        <f t="array" ref="N5">IFERROR(AVERAGE(IF((HOUR($A$3:$A$20)=LEFT($M5,2)*1)*NOT(ISBLANK($A$3:$A$20)),D$3:D$20,"")),"-")</f>
        <v>131</v>
      </c>
      <c r="O5" s="35">
        <f t="array" ref="O5">IFERROR(AVERAGE(IF((HOUR($A$3:$A$20)=LEFT($M5,2)*1)*NOT(ISBLANK($A$3:$A$20)),E$3:E$20,"")),"-")</f>
        <v>88.5</v>
      </c>
      <c r="P5" s="35">
        <f t="array" ref="P5">IFERROR(AVERAGE(IF((HOUR($A$3:$A$20)=LEFT($M5,2)*1)*NOT(ISBLANK($A$3:$A$20)),F$3:F$20,"")),"-")</f>
        <v>103</v>
      </c>
      <c r="Q5" s="36">
        <f t="array" ref="Q5">IFERROR(AVERAGE(IF((HOUR($A$3:$A$20)=LEFT($M5,2)*1)*NOT(ISBLANK($A$3:$A$20)),G$3:G$20,"")),"-")</f>
        <v>80.5</v>
      </c>
      <c r="S5" s="42" t="s">
        <v>14</v>
      </c>
      <c r="T5" s="92">
        <f t="array" aca="1" ref="T5" ca="1">AVERAGE(IF((lst_HoraAjustada&lt;=$T$1)+(lst_HoraAjustada&gt;=(1+$V$1)),lst_PAS,""))</f>
        <v>120.71428571428571</v>
      </c>
      <c r="U5" s="93">
        <f t="array" aca="1" ref="U5" ca="1">AVERAGE(IF((lst_HoraAjustada&lt;=$T$1)+(lst_HoraAjustada&gt;=(1+$V$1)),lst_PAD,""))</f>
        <v>80.204081632653057</v>
      </c>
      <c r="V5" s="93">
        <f t="array" aca="1" ref="V5" ca="1">AVERAGE(IF((lst_HoraAjustada&lt;=$T$1)+(lst_HoraAjustada&gt;=(1+$V$1)),lst_PAM,""))</f>
        <v>93.775510204081627</v>
      </c>
      <c r="W5" s="94">
        <f t="array" aca="1" ref="W5" ca="1">AVERAGE(IF((lst_HoraAjustada&lt;=$T$1)+(lst_HoraAjustada&gt;=(1+$V$1)),lst_Fc,""))</f>
        <v>85.877551020408163</v>
      </c>
      <c r="X5" s="13" t="s">
        <v>61</v>
      </c>
      <c r="Y5" s="120" t="s">
        <v>64</v>
      </c>
      <c r="Z5" s="121"/>
      <c r="AA5" s="121"/>
      <c r="AB5" s="121"/>
      <c r="AC5" s="121"/>
      <c r="AD5" s="122"/>
    </row>
    <row r="6" spans="1:30" s="13" customFormat="1" ht="15.75" thickBot="1">
      <c r="A6" s="47">
        <v>0.41250000000000003</v>
      </c>
      <c r="B6" s="7">
        <f t="shared" si="1"/>
        <v>45</v>
      </c>
      <c r="C6" s="17"/>
      <c r="D6" s="51">
        <v>126</v>
      </c>
      <c r="E6" s="51">
        <v>82</v>
      </c>
      <c r="F6" s="51">
        <v>97</v>
      </c>
      <c r="G6" s="51">
        <v>81</v>
      </c>
      <c r="H6" s="31">
        <f t="shared" si="2"/>
        <v>450</v>
      </c>
      <c r="I6" s="32">
        <f t="shared" si="0"/>
        <v>585</v>
      </c>
      <c r="J6" s="32">
        <f t="shared" si="0"/>
        <v>540</v>
      </c>
      <c r="K6" s="30">
        <f t="shared" si="0"/>
        <v>45</v>
      </c>
      <c r="M6" s="21" t="s">
        <v>37</v>
      </c>
      <c r="N6" s="35">
        <f t="array" ref="N6">IFERROR(AVERAGE(IF((HOUR($A$3:$A$120)=LEFT($M6,2)*1)*NOT(ISBLANK($A$3:$A$120)),D$3:D$120,"")),"-")</f>
        <v>120</v>
      </c>
      <c r="O6" s="35">
        <f t="array" ref="O6">IFERROR(AVERAGE(IF((HOUR($A$3:$A$120)=LEFT($M6,2)*1)*NOT(ISBLANK($A$3:$A$120)),E$3:E$120,"")),"-")</f>
        <v>81.25</v>
      </c>
      <c r="P6" s="35">
        <f t="array" ref="P6">IFERROR(AVERAGE(IF((HOUR($A$3:$A$120)=LEFT($M6,2)*1)*NOT(ISBLANK($A$3:$A$120)),F$3:F$120,"")),"-")</f>
        <v>94.25</v>
      </c>
      <c r="Q6" s="36">
        <f t="array" ref="Q6">IFERROR(AVERAGE(IF((HOUR($A$3:$A$120)=LEFT($M6,2)*1)*NOT(ISBLANK($A$3:$A$120)),G$3:G$120,"")),"-")</f>
        <v>91.5</v>
      </c>
      <c r="S6" s="43" t="s">
        <v>15</v>
      </c>
      <c r="T6" s="95">
        <f t="array" aca="1" ref="T6" ca="1">STDEV(IF((lst_HoraAjustada&lt;=$T$1)+(lst_HoraAjustada&gt;=(1+$V$1)),lst_PAS,""))</f>
        <v>11.066089342370832</v>
      </c>
      <c r="U6" s="96">
        <f t="array" aca="1" ref="U6" ca="1">STDEV(IF((lst_HoraAjustada&lt;=$T$1)+(lst_HoraAjustada&gt;=(1+$V$1)),lst_PAD,""))</f>
        <v>8.9209014675198457</v>
      </c>
      <c r="V6" s="96">
        <f t="array" aca="1" ref="V6" ca="1">STDEV(IF((lst_HoraAjustada&lt;=$T$1)+(lst_HoraAjustada&gt;=(1+$V$1)),lst_PAM,""))</f>
        <v>8.9704731065369305</v>
      </c>
      <c r="W6" s="97">
        <f t="array" aca="1" ref="W6" ca="1">STDEV(IF((lst_HoraAjustada&lt;=$T$1)+(lst_HoraAjustada&gt;=(1+$V$1)),lst_Fc,""))</f>
        <v>10.199331377311809</v>
      </c>
      <c r="X6" s="13" t="s">
        <v>61</v>
      </c>
      <c r="Y6" s="123"/>
      <c r="Z6" s="124"/>
      <c r="AA6" s="124"/>
      <c r="AB6" s="124"/>
      <c r="AC6" s="124"/>
      <c r="AD6" s="125"/>
    </row>
    <row r="7" spans="1:30" s="13" customFormat="1">
      <c r="A7" s="47">
        <v>0.42291666666666666</v>
      </c>
      <c r="B7" s="7">
        <f t="shared" si="1"/>
        <v>14.999999999999947</v>
      </c>
      <c r="C7" s="17"/>
      <c r="D7" s="51">
        <v>124</v>
      </c>
      <c r="E7" s="51">
        <v>87</v>
      </c>
      <c r="F7" s="51">
        <v>99</v>
      </c>
      <c r="G7" s="51">
        <v>87</v>
      </c>
      <c r="H7" s="31">
        <f t="shared" si="2"/>
        <v>29.999999999999893</v>
      </c>
      <c r="I7" s="32">
        <f t="shared" si="0"/>
        <v>74.99999999999973</v>
      </c>
      <c r="J7" s="32">
        <f t="shared" si="0"/>
        <v>29.999999999999893</v>
      </c>
      <c r="K7" s="30">
        <f t="shared" si="0"/>
        <v>89.999999999999687</v>
      </c>
      <c r="M7" s="21" t="s">
        <v>38</v>
      </c>
      <c r="N7" s="35">
        <f t="array" ref="N7">IFERROR(AVERAGE(IF((HOUR($A$3:$A$120)=LEFT($M7,2)*1)*NOT(ISBLANK($A$3:$A$120)),D$3:D$120,"")),"-")</f>
        <v>125.5</v>
      </c>
      <c r="O7" s="35">
        <f t="array" ref="O7">IFERROR(AVERAGE(IF((HOUR($A$3:$A$120)=LEFT($M7,2)*1)*NOT(ISBLANK($A$3:$A$120)),E$3:E$120,"")),"-")</f>
        <v>90.5</v>
      </c>
      <c r="P7" s="35">
        <f t="array" ref="P7">IFERROR(AVERAGE(IF((HOUR($A$3:$A$120)=LEFT($M7,2)*1)*NOT(ISBLANK($A$3:$A$120)),F$3:F$120,"")),"-")</f>
        <v>102</v>
      </c>
      <c r="Q7" s="36">
        <f t="array" ref="Q7">IFERROR(AVERAGE(IF((HOUR($A$3:$A$120)=LEFT($M7,2)*1)*NOT(ISBLANK($A$3:$A$120)),G$3:G$120,"")),"-")</f>
        <v>77.5</v>
      </c>
      <c r="S7" s="44" t="s">
        <v>16</v>
      </c>
      <c r="T7" s="92">
        <f t="array" aca="1" ref="T7" ca="1">AVERAGE(IF((lst_HoraAjustada&gt;=$T$1)*(lst_HoraAjustada&lt;=(1+$V$1)),lst_PAS,""))</f>
        <v>99.117647058823536</v>
      </c>
      <c r="U7" s="93">
        <f t="array" aca="1" ref="U7" ca="1">AVERAGE(IF((lst_HoraAjustada&gt;=$T$1)*(lst_HoraAjustada&lt;=(1+$V$1)),lst_PAD,""))</f>
        <v>62.117647058823529</v>
      </c>
      <c r="V7" s="93">
        <f t="array" aca="1" ref="V7" ca="1">AVERAGE(IF((lst_HoraAjustada&gt;=$T$1)*(lst_HoraAjustada&lt;=(1+$V$1)),lst_PAM,""))</f>
        <v>74.470588235294116</v>
      </c>
      <c r="W7" s="94">
        <f t="array" aca="1" ref="W7" ca="1">AVERAGE(IF((lst_HoraAjustada&gt;=$T$1)*(lst_HoraAjustada&lt;=(1+$V$1)),lst_Fc,""))</f>
        <v>63.823529411764703</v>
      </c>
      <c r="X7" s="13" t="s">
        <v>61</v>
      </c>
      <c r="Y7" s="123"/>
      <c r="Z7" s="124"/>
      <c r="AA7" s="124"/>
      <c r="AB7" s="124"/>
      <c r="AC7" s="124"/>
      <c r="AD7" s="125"/>
    </row>
    <row r="8" spans="1:30" s="13" customFormat="1" ht="15.75" thickBot="1">
      <c r="A8" s="47">
        <v>0.43333333333333335</v>
      </c>
      <c r="B8" s="7">
        <f t="shared" si="1"/>
        <v>15.000000000000027</v>
      </c>
      <c r="C8" s="17"/>
      <c r="D8" s="51">
        <v>113</v>
      </c>
      <c r="E8" s="51">
        <v>78</v>
      </c>
      <c r="F8" s="51">
        <v>90</v>
      </c>
      <c r="G8" s="51">
        <v>88</v>
      </c>
      <c r="H8" s="31">
        <f t="shared" si="2"/>
        <v>165.00000000000028</v>
      </c>
      <c r="I8" s="32">
        <f t="shared" si="0"/>
        <v>135.00000000000023</v>
      </c>
      <c r="J8" s="32">
        <f t="shared" si="0"/>
        <v>135.00000000000023</v>
      </c>
      <c r="K8" s="30">
        <f t="shared" si="0"/>
        <v>15.000000000000027</v>
      </c>
      <c r="M8" s="21" t="s">
        <v>39</v>
      </c>
      <c r="N8" s="35">
        <f t="array" ref="N8">IFERROR(AVERAGE(IF((HOUR($A$3:$A$120)=LEFT($M8,2)*1)*NOT(ISBLANK($A$3:$A$120)),D$3:D$120,"")),"-")</f>
        <v>132.33333333333334</v>
      </c>
      <c r="O8" s="35">
        <f t="array" ref="O8">IFERROR(AVERAGE(IF((HOUR($A$3:$A$120)=LEFT($M8,2)*1)*NOT(ISBLANK($A$3:$A$120)),E$3:E$120,"")),"-")</f>
        <v>90</v>
      </c>
      <c r="P8" s="35">
        <f t="array" ref="P8">IFERROR(AVERAGE(IF((HOUR($A$3:$A$120)=LEFT($M8,2)*1)*NOT(ISBLANK($A$3:$A$120)),F$3:F$120,"")),"-")</f>
        <v>104</v>
      </c>
      <c r="Q8" s="36">
        <f t="array" ref="Q8">IFERROR(AVERAGE(IF((HOUR($A$3:$A$120)=LEFT($M8,2)*1)*NOT(ISBLANK($A$3:$A$120)),G$3:G$120,"")),"-")</f>
        <v>80.666666666666671</v>
      </c>
      <c r="S8" s="45" t="s">
        <v>17</v>
      </c>
      <c r="T8" s="95">
        <f t="array" aca="1" ref="T8" ca="1">STDEV(IF((lst_HoraAjustada&gt;=$T$1)*(lst_HoraAjustada&lt;=(1+$V$1)),lst_PAS,""))</f>
        <v>7.881008445474909</v>
      </c>
      <c r="U8" s="96">
        <f t="array" aca="1" ref="U8" ca="1">STDEV(IF((lst_HoraAjustada&gt;=$T$1)*(lst_HoraAjustada&lt;=(1+$V$1)),lst_PAD,""))</f>
        <v>7.6720462796861986</v>
      </c>
      <c r="V8" s="96">
        <f t="array" aca="1" ref="V8" ca="1">STDEV(IF((lst_HoraAjustada&gt;=$T$1)*(lst_HoraAjustada&lt;=(1+$V$1)),lst_PAM,""))</f>
        <v>7.1773745814436323</v>
      </c>
      <c r="W8" s="97">
        <f t="array" aca="1" ref="W8" ca="1">STDEV(IF((lst_HoraAjustada&gt;=$T$1)*(lst_HoraAjustada&lt;=(1+$V$1)),lst_Fc,""))</f>
        <v>4.019255125605528</v>
      </c>
      <c r="X8" s="13" t="s">
        <v>61</v>
      </c>
      <c r="Y8" s="126"/>
      <c r="Z8" s="127"/>
      <c r="AA8" s="127"/>
      <c r="AB8" s="127"/>
      <c r="AC8" s="127"/>
      <c r="AD8" s="128"/>
    </row>
    <row r="9" spans="1:30" s="13" customFormat="1">
      <c r="A9" s="47">
        <v>0.44375000000000003</v>
      </c>
      <c r="B9" s="7">
        <f t="shared" si="1"/>
        <v>15.000000000000027</v>
      </c>
      <c r="C9" s="17"/>
      <c r="D9" s="51">
        <v>115</v>
      </c>
      <c r="E9" s="51">
        <v>80</v>
      </c>
      <c r="F9" s="51">
        <v>92</v>
      </c>
      <c r="G9" s="51">
        <v>95</v>
      </c>
      <c r="H9" s="31">
        <f t="shared" si="2"/>
        <v>30.000000000000053</v>
      </c>
      <c r="I9" s="32">
        <f t="shared" si="0"/>
        <v>30.000000000000053</v>
      </c>
      <c r="J9" s="32">
        <f t="shared" si="0"/>
        <v>30.000000000000053</v>
      </c>
      <c r="K9" s="30">
        <f t="shared" si="0"/>
        <v>105.00000000000018</v>
      </c>
      <c r="M9" s="21" t="s">
        <v>40</v>
      </c>
      <c r="N9" s="35">
        <f t="array" ref="N9">IFERROR(AVERAGE(IF((HOUR($A$3:$A$120)=LEFT($M9,2)*1)*NOT(ISBLANK($A$3:$A$120)),D$3:D$120,"")),"-")</f>
        <v>129.75</v>
      </c>
      <c r="O9" s="35">
        <f t="array" ref="O9">IFERROR(AVERAGE(IF((HOUR($A$3:$A$120)=LEFT($M9,2)*1)*NOT(ISBLANK($A$3:$A$120)),E$3:E$120,"")),"-")</f>
        <v>84.75</v>
      </c>
      <c r="P9" s="35">
        <f t="array" ref="P9">IFERROR(AVERAGE(IF((HOUR($A$3:$A$120)=LEFT($M9,2)*1)*NOT(ISBLANK($A$3:$A$120)),F$3:F$120,"")),"-")</f>
        <v>99.75</v>
      </c>
      <c r="Q9" s="36">
        <f t="array" ref="Q9">IFERROR(AVERAGE(IF((HOUR($A$3:$A$120)=LEFT($M9,2)*1)*NOT(ISBLANK($A$3:$A$120)),G$3:G$120,"")),"-")</f>
        <v>81</v>
      </c>
      <c r="S9" s="25"/>
      <c r="T9" s="63" t="s">
        <v>18</v>
      </c>
      <c r="U9" s="64">
        <f>24*(V1-T1+((V1-T1)&lt;0))</f>
        <v>8</v>
      </c>
      <c r="V9" s="63" t="s">
        <v>19</v>
      </c>
      <c r="W9" s="65">
        <f>24-U9</f>
        <v>16</v>
      </c>
    </row>
    <row r="10" spans="1:30" s="13" customFormat="1">
      <c r="A10" s="47">
        <v>0.45416666666666666</v>
      </c>
      <c r="B10" s="7">
        <f t="shared" si="1"/>
        <v>14.999999999999947</v>
      </c>
      <c r="C10" s="17"/>
      <c r="D10" s="51">
        <v>128</v>
      </c>
      <c r="E10" s="51">
        <v>80</v>
      </c>
      <c r="F10" s="51">
        <v>96</v>
      </c>
      <c r="G10" s="51">
        <v>96</v>
      </c>
      <c r="H10" s="31">
        <f t="shared" si="2"/>
        <v>194.99999999999932</v>
      </c>
      <c r="I10" s="32">
        <f t="shared" si="0"/>
        <v>0</v>
      </c>
      <c r="J10" s="32">
        <f t="shared" si="0"/>
        <v>59.999999999999787</v>
      </c>
      <c r="K10" s="30">
        <f t="shared" si="0"/>
        <v>14.999999999999947</v>
      </c>
      <c r="M10" s="21" t="s">
        <v>41</v>
      </c>
      <c r="N10" s="35">
        <f t="array" ref="N10">IFERROR(AVERAGE(IF((HOUR($A$3:$A$120)=LEFT($M10,2)*1)*NOT(ISBLANK($A$3:$A$120)),D$3:D$120,"")),"-")</f>
        <v>120</v>
      </c>
      <c r="O10" s="35">
        <f t="array" ref="O10">IFERROR(AVERAGE(IF((HOUR($A$3:$A$120)=LEFT($M10,2)*1)*NOT(ISBLANK($A$3:$A$120)),E$3:E$120,"")),"-")</f>
        <v>83</v>
      </c>
      <c r="P10" s="35">
        <f t="array" ref="P10">IFERROR(AVERAGE(IF((HOUR($A$3:$A$120)=LEFT($M10,2)*1)*NOT(ISBLANK($A$3:$A$120)),F$3:F$120,"")),"-")</f>
        <v>95</v>
      </c>
      <c r="Q10" s="36">
        <f t="array" ref="Q10">IFERROR(AVERAGE(IF((HOUR($A$3:$A$120)=LEFT($M10,2)*1)*NOT(ISBLANK($A$3:$A$120)),G$3:G$120,"")),"-")</f>
        <v>80</v>
      </c>
      <c r="S10" s="53" t="s">
        <v>13</v>
      </c>
      <c r="T10" s="64">
        <f ca="1">T4</f>
        <v>14.010152828730403</v>
      </c>
      <c r="U10" s="64">
        <f t="shared" ref="U10:W10" ca="1" si="3">U4</f>
        <v>11.695076963185208</v>
      </c>
      <c r="V10" s="64">
        <f t="shared" ca="1" si="3"/>
        <v>12.019496593797028</v>
      </c>
      <c r="W10" s="65">
        <f t="shared" ca="1" si="3"/>
        <v>13.237731268519131</v>
      </c>
    </row>
    <row r="11" spans="1:30" s="13" customFormat="1" ht="15.75" thickBot="1">
      <c r="A11" s="47">
        <v>0.47500000000000003</v>
      </c>
      <c r="B11" s="7">
        <f t="shared" si="1"/>
        <v>30.000000000000053</v>
      </c>
      <c r="C11" s="17"/>
      <c r="D11" s="51">
        <v>130</v>
      </c>
      <c r="E11" s="51">
        <v>90</v>
      </c>
      <c r="F11" s="51">
        <v>103</v>
      </c>
      <c r="G11" s="51">
        <v>79</v>
      </c>
      <c r="H11" s="31">
        <f t="shared" si="2"/>
        <v>60.000000000000107</v>
      </c>
      <c r="I11" s="32">
        <f t="shared" si="0"/>
        <v>300.00000000000051</v>
      </c>
      <c r="J11" s="32">
        <f t="shared" si="0"/>
        <v>210.00000000000037</v>
      </c>
      <c r="K11" s="30">
        <f t="shared" si="0"/>
        <v>510.00000000000091</v>
      </c>
      <c r="M11" s="21" t="s">
        <v>42</v>
      </c>
      <c r="N11" s="35">
        <f t="array" ref="N11">IFERROR(AVERAGE(IF((HOUR($A$3:$A$120)=LEFT($M11,2)*1)*NOT(ISBLANK($A$3:$A$120)),D$3:D$120,"")),"-")</f>
        <v>129.5</v>
      </c>
      <c r="O11" s="35">
        <f t="array" ref="O11">IFERROR(AVERAGE(IF((HOUR($A$3:$A$120)=LEFT($M11,2)*1)*NOT(ISBLANK($A$3:$A$120)),E$3:E$120,"")),"-")</f>
        <v>82</v>
      </c>
      <c r="P11" s="35">
        <f t="array" ref="P11">IFERROR(AVERAGE(IF((HOUR($A$3:$A$120)=LEFT($M11,2)*1)*NOT(ISBLANK($A$3:$A$120)),F$3:F$120,"")),"-")</f>
        <v>98</v>
      </c>
      <c r="Q11" s="36">
        <f t="array" ref="Q11">IFERROR(AVERAGE(IF((HOUR($A$3:$A$120)=LEFT($M11,2)*1)*NOT(ISBLANK($A$3:$A$120)),G$3:G$120,"")),"-")</f>
        <v>84.5</v>
      </c>
      <c r="S11" s="54" t="s">
        <v>20</v>
      </c>
      <c r="T11" s="61">
        <f ca="1">((T6*$W9)+(T8*$U9))/($U9+$W9)</f>
        <v>10.00439571007219</v>
      </c>
      <c r="U11" s="61">
        <f ca="1">((U6*$W9)+(U8*$U9))/($U9+$W9)</f>
        <v>8.5046164049086297</v>
      </c>
      <c r="V11" s="61">
        <f t="shared" ref="V11" ca="1" si="4">((V6*$W9)+(V8*$U9))/($U9+$W9)</f>
        <v>8.3727735981724987</v>
      </c>
      <c r="W11" s="62">
        <f ca="1">((W6*$W9)+(W8*$U9))/($U9+$W9)</f>
        <v>8.1393059600763831</v>
      </c>
    </row>
    <row r="12" spans="1:30" s="13" customFormat="1">
      <c r="A12" s="47">
        <v>0.48541666666666666</v>
      </c>
      <c r="B12" s="7">
        <f t="shared" si="1"/>
        <v>14.999999999999947</v>
      </c>
      <c r="C12" s="17"/>
      <c r="D12" s="51">
        <v>121</v>
      </c>
      <c r="E12" s="51">
        <v>91</v>
      </c>
      <c r="F12" s="51">
        <v>101</v>
      </c>
      <c r="G12" s="51">
        <v>76</v>
      </c>
      <c r="H12" s="31">
        <f t="shared" si="2"/>
        <v>134.99999999999952</v>
      </c>
      <c r="I12" s="32">
        <f t="shared" si="0"/>
        <v>14.999999999999947</v>
      </c>
      <c r="J12" s="32">
        <f t="shared" si="0"/>
        <v>29.999999999999893</v>
      </c>
      <c r="K12" s="30">
        <f t="shared" si="0"/>
        <v>44.999999999999844</v>
      </c>
      <c r="M12" s="21" t="s">
        <v>43</v>
      </c>
      <c r="N12" s="35">
        <f t="array" ref="N12">IFERROR(AVERAGE(IF((HOUR($A$3:$A$120)=LEFT($M12,2)*1)*NOT(ISBLANK($A$3:$A$120)),D$3:D$120,"")),"-")</f>
        <v>121.5</v>
      </c>
      <c r="O12" s="35">
        <f t="array" ref="O12">IFERROR(AVERAGE(IF((HOUR($A$3:$A$120)=LEFT($M12,2)*1)*NOT(ISBLANK($A$3:$A$120)),E$3:E$120,"")),"-")</f>
        <v>73.75</v>
      </c>
      <c r="P12" s="35">
        <f t="array" ref="P12">IFERROR(AVERAGE(IF((HOUR($A$3:$A$120)=LEFT($M12,2)*1)*NOT(ISBLANK($A$3:$A$120)),F$3:F$120,"")),"-")</f>
        <v>89.75</v>
      </c>
      <c r="Q12" s="36">
        <f t="array" ref="Q12">IFERROR(AVERAGE(IF((HOUR($A$3:$A$120)=LEFT($M12,2)*1)*NOT(ISBLANK($A$3:$A$120)),G$3:G$120,"")),"-")</f>
        <v>81.25</v>
      </c>
      <c r="S12" s="53" t="s">
        <v>21</v>
      </c>
      <c r="T12" s="64">
        <f>SUM(B4:B106)</f>
        <v>1417.0000000000005</v>
      </c>
      <c r="U12" s="66"/>
      <c r="V12" s="66"/>
      <c r="W12" s="67"/>
    </row>
    <row r="13" spans="1:30" s="13" customFormat="1" ht="15.75" thickBot="1">
      <c r="A13" s="47">
        <v>0.51666666666666672</v>
      </c>
      <c r="B13" s="7">
        <f t="shared" si="1"/>
        <v>45.000000000000078</v>
      </c>
      <c r="C13" s="17"/>
      <c r="D13" s="51">
        <v>133</v>
      </c>
      <c r="E13" s="51">
        <v>91</v>
      </c>
      <c r="F13" s="51">
        <v>105</v>
      </c>
      <c r="G13" s="51">
        <v>81</v>
      </c>
      <c r="H13" s="31">
        <f t="shared" si="2"/>
        <v>540.00000000000091</v>
      </c>
      <c r="I13" s="32">
        <f t="shared" si="0"/>
        <v>0</v>
      </c>
      <c r="J13" s="32">
        <f t="shared" si="0"/>
        <v>180.00000000000031</v>
      </c>
      <c r="K13" s="30">
        <f t="shared" si="0"/>
        <v>225.0000000000004</v>
      </c>
      <c r="M13" s="21" t="s">
        <v>44</v>
      </c>
      <c r="N13" s="35">
        <f t="array" ref="N13">IFERROR(AVERAGE(IF((HOUR($A$3:$A$120)=LEFT($M13,2)*1)*NOT(ISBLANK($A$3:$A$120)),D$3:D$120,"")),"-")</f>
        <v>123.75</v>
      </c>
      <c r="O13" s="35">
        <f t="array" ref="O13">IFERROR(AVERAGE(IF((HOUR($A$3:$A$120)=LEFT($M13,2)*1)*NOT(ISBLANK($A$3:$A$120)),E$3:E$120,"")),"-")</f>
        <v>77.5</v>
      </c>
      <c r="P13" s="35">
        <f t="array" ref="P13">IFERROR(AVERAGE(IF((HOUR($A$3:$A$120)=LEFT($M13,2)*1)*NOT(ISBLANK($A$3:$A$120)),F$3:F$120,"")),"-")</f>
        <v>93</v>
      </c>
      <c r="Q13" s="36">
        <f t="array" ref="Q13">IFERROR(AVERAGE(IF((HOUR($A$3:$A$120)=LEFT($M13,2)*1)*NOT(ISBLANK($A$3:$A$120)),G$3:G$120,"")),"-")</f>
        <v>94</v>
      </c>
      <c r="S13" s="54" t="s">
        <v>22</v>
      </c>
      <c r="T13" s="61">
        <f>SUM(H4:H106)/$T12</f>
        <v>8.980945659844739</v>
      </c>
      <c r="U13" s="61">
        <f>SUM(I4:I106)/$T12</f>
        <v>7.9329569513055711</v>
      </c>
      <c r="V13" s="61">
        <f>SUM(J4:J106)/$T12</f>
        <v>7.7642907551164395</v>
      </c>
      <c r="W13" s="62">
        <f>SUM(K4:K106)/$T12</f>
        <v>6.3105151729004971</v>
      </c>
    </row>
    <row r="14" spans="1:30" s="13" customFormat="1" ht="15.75" thickBot="1">
      <c r="A14" s="47">
        <v>0.52708333333333335</v>
      </c>
      <c r="B14" s="7">
        <f t="shared" si="1"/>
        <v>14.999999999999947</v>
      </c>
      <c r="C14" s="17"/>
      <c r="D14" s="51">
        <v>116</v>
      </c>
      <c r="E14" s="51">
        <v>86</v>
      </c>
      <c r="F14" s="51">
        <v>96</v>
      </c>
      <c r="G14" s="51">
        <v>81</v>
      </c>
      <c r="H14" s="31">
        <f t="shared" si="2"/>
        <v>254.99999999999909</v>
      </c>
      <c r="I14" s="32">
        <f t="shared" si="0"/>
        <v>74.99999999999973</v>
      </c>
      <c r="J14" s="32">
        <f t="shared" si="0"/>
        <v>134.99999999999952</v>
      </c>
      <c r="K14" s="30">
        <f t="shared" si="0"/>
        <v>0</v>
      </c>
      <c r="M14" s="21" t="s">
        <v>45</v>
      </c>
      <c r="N14" s="35">
        <f t="array" ref="N14">IFERROR(AVERAGE(IF((HOUR($A$3:$A$120)=LEFT($M14,2)*1)*NOT(ISBLANK($A$3:$A$120)),D$3:D$120,"")),"-")</f>
        <v>118.33333333333333</v>
      </c>
      <c r="O14" s="35">
        <f t="array" ref="O14">IFERROR(AVERAGE(IF((HOUR($A$3:$A$120)=LEFT($M14,2)*1)*NOT(ISBLANK($A$3:$A$120)),E$3:E$120,"")),"-")</f>
        <v>78</v>
      </c>
      <c r="P14" s="35">
        <f t="array" ref="P14">IFERROR(AVERAGE(IF((HOUR($A$3:$A$120)=LEFT($M14,2)*1)*NOT(ISBLANK($A$3:$A$120)),F$3:F$120,"")),"-")</f>
        <v>91.666666666666671</v>
      </c>
      <c r="Q14" s="36">
        <f t="array" ref="Q14">IFERROR(AVERAGE(IF((HOUR($A$3:$A$120)=LEFT($M14,2)*1)*NOT(ISBLANK($A$3:$A$120)),G$3:G$120,"")),"-")</f>
        <v>88.333333333333329</v>
      </c>
      <c r="S14" s="26"/>
      <c r="T14" s="27"/>
      <c r="U14" s="27"/>
      <c r="V14" s="27"/>
      <c r="W14" s="27"/>
    </row>
    <row r="15" spans="1:30" s="13" customFormat="1">
      <c r="A15" s="47">
        <v>0.53749999999999998</v>
      </c>
      <c r="B15" s="7">
        <f t="shared" si="1"/>
        <v>14.999999999999947</v>
      </c>
      <c r="C15" s="17"/>
      <c r="D15" s="51">
        <v>148</v>
      </c>
      <c r="E15" s="51">
        <v>93</v>
      </c>
      <c r="F15" s="51">
        <v>111</v>
      </c>
      <c r="G15" s="51">
        <v>80</v>
      </c>
      <c r="H15" s="31">
        <f t="shared" si="2"/>
        <v>479.99999999999829</v>
      </c>
      <c r="I15" s="32">
        <f t="shared" si="0"/>
        <v>104.99999999999963</v>
      </c>
      <c r="J15" s="32">
        <f t="shared" si="0"/>
        <v>224.9999999999992</v>
      </c>
      <c r="K15" s="30">
        <f t="shared" si="0"/>
        <v>14.999999999999947</v>
      </c>
      <c r="M15" s="21" t="s">
        <v>46</v>
      </c>
      <c r="N15" s="35">
        <f t="array" ref="N15">IFERROR(AVERAGE(IF((HOUR($A$3:$A$120)=LEFT($M15,2)*1)*NOT(ISBLANK($A$3:$A$120)),D$3:D$120,"")),"-")</f>
        <v>112.25</v>
      </c>
      <c r="O15" s="35">
        <f t="array" ref="O15">IFERROR(AVERAGE(IF((HOUR($A$3:$A$120)=LEFT($M15,2)*1)*NOT(ISBLANK($A$3:$A$120)),E$3:E$120,"")),"-")</f>
        <v>76.5</v>
      </c>
      <c r="P15" s="35">
        <f t="array" ref="P15">IFERROR(AVERAGE(IF((HOUR($A$3:$A$120)=LEFT($M15,2)*1)*NOT(ISBLANK($A$3:$A$120)),F$3:F$120,"")),"-")</f>
        <v>88.5</v>
      </c>
      <c r="Q15" s="36">
        <f t="array" ref="Q15">IFERROR(AVERAGE(IF((HOUR($A$3:$A$120)=LEFT($M15,2)*1)*NOT(ISBLANK($A$3:$A$120)),G$3:G$120,"")),"-")</f>
        <v>83.5</v>
      </c>
      <c r="S15" s="153" t="s">
        <v>23</v>
      </c>
      <c r="T15" s="68" t="s">
        <v>24</v>
      </c>
      <c r="U15" s="161">
        <f ca="1">COUNTIF(lst_PAS,"&gt;130")/COUNT(lst_PAS)</f>
        <v>0.15151515151515152</v>
      </c>
      <c r="V15" s="70" t="s">
        <v>25</v>
      </c>
      <c r="W15" s="164">
        <f ca="1">COUNTIF(lst_PAD,"&gt;80")/COUNT(lst_PAD)</f>
        <v>0.34848484848484851</v>
      </c>
      <c r="Y15" s="144" t="s">
        <v>60</v>
      </c>
      <c r="Z15" s="145"/>
      <c r="AA15" s="145"/>
      <c r="AB15" s="145"/>
      <c r="AC15" s="145"/>
      <c r="AD15" s="146"/>
    </row>
    <row r="16" spans="1:30" s="13" customFormat="1" ht="15" customHeight="1">
      <c r="A16" s="47">
        <v>0.54791666666666672</v>
      </c>
      <c r="B16" s="7">
        <f t="shared" si="1"/>
        <v>15.000000000000107</v>
      </c>
      <c r="C16" s="17"/>
      <c r="D16" s="51">
        <v>126</v>
      </c>
      <c r="E16" s="51">
        <v>88</v>
      </c>
      <c r="F16" s="51">
        <v>101</v>
      </c>
      <c r="G16" s="51">
        <v>74</v>
      </c>
      <c r="H16" s="31">
        <f t="shared" si="2"/>
        <v>330.00000000000233</v>
      </c>
      <c r="I16" s="32">
        <f t="shared" si="0"/>
        <v>75.00000000000054</v>
      </c>
      <c r="J16" s="32">
        <f t="shared" si="0"/>
        <v>150.00000000000108</v>
      </c>
      <c r="K16" s="30">
        <f t="shared" si="0"/>
        <v>90.000000000000639</v>
      </c>
      <c r="M16" s="21" t="s">
        <v>47</v>
      </c>
      <c r="N16" s="35">
        <f t="array" ref="N16">IFERROR(AVERAGE(IF((HOUR($A$3:$A$120)=LEFT($M16,2)*1)*NOT(ISBLANK($A$3:$A$120)),D$3:D$120,"")),"-")</f>
        <v>110.75</v>
      </c>
      <c r="O16" s="35">
        <f t="array" ref="O16">IFERROR(AVERAGE(IF((HOUR($A$3:$A$120)=LEFT($M16,2)*1)*NOT(ISBLANK($A$3:$A$120)),E$3:E$120,"")),"-")</f>
        <v>74.5</v>
      </c>
      <c r="P16" s="35">
        <f t="array" ref="P16">IFERROR(AVERAGE(IF((HOUR($A$3:$A$120)=LEFT($M16,2)*1)*NOT(ISBLANK($A$3:$A$120)),F$3:F$120,"")),"-")</f>
        <v>86.75</v>
      </c>
      <c r="Q16" s="36">
        <f t="array" ref="Q16">IFERROR(AVERAGE(IF((HOUR($A$3:$A$120)=LEFT($M16,2)*1)*NOT(ISBLANK($A$3:$A$120)),G$3:G$120,"")),"-")</f>
        <v>85.5</v>
      </c>
      <c r="S16" s="154"/>
      <c r="T16" s="72" t="s">
        <v>26</v>
      </c>
      <c r="U16" s="162">
        <f t="array" aca="1" ref="U16" ca="1">COUNT(IF(((lst_HoraAjustada&lt;=$T$1)+(lst_HoraAjustada&gt;=(1+$V$1)))*(lst_PAS&gt;135),lst_PAS,""))/COUNT(IF((lst_HoraAjustada&lt;=$T$1)+(lst_HoraAjustada&gt;=(1+$V$1)),lst_PAS,""))</f>
        <v>8.1632653061224483E-2</v>
      </c>
      <c r="V16" s="74" t="s">
        <v>27</v>
      </c>
      <c r="W16" s="165">
        <f t="array" aca="1" ref="W16" ca="1">COUNT(IF(((lst_HoraAjustada&lt;=$T$1)+(lst_HoraAjustada&gt;=(1+$V$1)))*(lst_PAD&gt;85),lst_PAD,""))/COUNT(IF((lst_HoraAjustada&lt;=$T$1)+(lst_HoraAjustada&gt;=(1+$V$1)),lst_PAD,""))</f>
        <v>0.36734693877551022</v>
      </c>
      <c r="X16" s="13" t="s">
        <v>61</v>
      </c>
      <c r="Y16" s="147"/>
      <c r="Z16" s="148"/>
      <c r="AA16" s="148"/>
      <c r="AB16" s="148"/>
      <c r="AC16" s="148"/>
      <c r="AD16" s="149"/>
    </row>
    <row r="17" spans="1:30" s="13" customFormat="1" ht="15.75" thickBot="1">
      <c r="A17" s="47">
        <v>0.55833333333333335</v>
      </c>
      <c r="B17" s="7">
        <f t="shared" si="1"/>
        <v>14.999999999999947</v>
      </c>
      <c r="C17" s="17"/>
      <c r="D17" s="51">
        <v>131</v>
      </c>
      <c r="E17" s="51">
        <v>80</v>
      </c>
      <c r="F17" s="51">
        <v>97</v>
      </c>
      <c r="G17" s="51">
        <v>80</v>
      </c>
      <c r="H17" s="31">
        <f t="shared" si="2"/>
        <v>74.99999999999973</v>
      </c>
      <c r="I17" s="32">
        <f t="shared" si="0"/>
        <v>119.99999999999957</v>
      </c>
      <c r="J17" s="32">
        <f t="shared" si="0"/>
        <v>59.999999999999787</v>
      </c>
      <c r="K17" s="30">
        <f t="shared" si="0"/>
        <v>89.999999999999687</v>
      </c>
      <c r="M17" s="21" t="s">
        <v>48</v>
      </c>
      <c r="N17" s="35">
        <f t="array" ref="N17">IFERROR(AVERAGE(IF((HOUR($A$3:$A$120)=LEFT($M17,2)*1)*NOT(ISBLANK($A$3:$A$120)),D$3:D$120,"")),"-")</f>
        <v>126.25</v>
      </c>
      <c r="O17" s="35">
        <f t="array" ref="O17">IFERROR(AVERAGE(IF((HOUR($A$3:$A$120)=LEFT($M17,2)*1)*NOT(ISBLANK($A$3:$A$120)),E$3:E$120,"")),"-")</f>
        <v>83.25</v>
      </c>
      <c r="P17" s="35">
        <f t="array" ref="P17">IFERROR(AVERAGE(IF((HOUR($A$3:$A$120)=LEFT($M17,2)*1)*NOT(ISBLANK($A$3:$A$120)),F$3:F$120,"")),"-")</f>
        <v>97.5</v>
      </c>
      <c r="Q17" s="36">
        <f t="array" ref="Q17">IFERROR(AVERAGE(IF((HOUR($A$3:$A$120)=LEFT($M17,2)*1)*NOT(ISBLANK($A$3:$A$120)),G$3:G$120,"")),"-")</f>
        <v>90.5</v>
      </c>
      <c r="S17" s="155"/>
      <c r="T17" s="76" t="s">
        <v>28</v>
      </c>
      <c r="U17" s="163">
        <f t="array" aca="1" ref="U17" ca="1">COUNT(IF((lst_HoraAjustada&gt;=$T$1)*(lst_HoraAjustada&lt;=(1+$V$1))*(lst_PAS&gt;120),lst_PAS,""))/COUNT(IF((lst_HoraAjustada&gt;=$T$1)*(lst_HoraAjustada&lt;=(1+$V$1)),lst_PAS,""))</f>
        <v>0</v>
      </c>
      <c r="V17" s="78" t="s">
        <v>29</v>
      </c>
      <c r="W17" s="166">
        <f t="array" aca="1" ref="W17" ca="1">COUNT(IF((lst_HoraAjustada&gt;=$T$1)*(lst_HoraAjustada&lt;=(1+$V$1))*(lst_PAD&gt;70),lst_PAD,""))/COUNT(IF((lst_HoraAjustada&gt;=$T$1)*(lst_HoraAjustada&lt;=(1+$V$1)),lst_PAD,""))</f>
        <v>5.8823529411764705E-2</v>
      </c>
      <c r="X17" s="13" t="s">
        <v>61</v>
      </c>
      <c r="Y17" s="150"/>
      <c r="Z17" s="151"/>
      <c r="AA17" s="151"/>
      <c r="AB17" s="151"/>
      <c r="AC17" s="151"/>
      <c r="AD17" s="152"/>
    </row>
    <row r="18" spans="1:30" s="13" customFormat="1">
      <c r="A18" s="47">
        <v>0.56874999999999998</v>
      </c>
      <c r="B18" s="7">
        <f t="shared" si="1"/>
        <v>14.999999999999947</v>
      </c>
      <c r="C18" s="17"/>
      <c r="D18" s="51">
        <v>141</v>
      </c>
      <c r="E18" s="51">
        <v>93</v>
      </c>
      <c r="F18" s="51">
        <v>109</v>
      </c>
      <c r="G18" s="51">
        <v>86</v>
      </c>
      <c r="H18" s="31">
        <f t="shared" si="2"/>
        <v>149.99999999999946</v>
      </c>
      <c r="I18" s="32">
        <f t="shared" si="0"/>
        <v>194.99999999999932</v>
      </c>
      <c r="J18" s="32">
        <f t="shared" si="0"/>
        <v>179.99999999999937</v>
      </c>
      <c r="K18" s="30">
        <f t="shared" si="0"/>
        <v>89.999999999999687</v>
      </c>
      <c r="M18" s="21" t="s">
        <v>49</v>
      </c>
      <c r="N18" s="35">
        <f t="array" ref="N18">IFERROR(AVERAGE(IF((HOUR($A$3:$A$120)=LEFT($M18,2)*1)*NOT(ISBLANK($A$3:$A$120)),D$3:D$120,"")),"-")</f>
        <v>118.5</v>
      </c>
      <c r="O18" s="35">
        <f t="array" ref="O18">IFERROR(AVERAGE(IF((HOUR($A$3:$A$120)=LEFT($M18,2)*1)*NOT(ISBLANK($A$3:$A$120)),E$3:E$120,"")),"-")</f>
        <v>88</v>
      </c>
      <c r="P18" s="35">
        <f t="array" ref="P18">IFERROR(AVERAGE(IF((HOUR($A$3:$A$120)=LEFT($M18,2)*1)*NOT(ISBLANK($A$3:$A$120)),F$3:F$120,"")),"-")</f>
        <v>98.5</v>
      </c>
      <c r="Q18" s="36">
        <f t="array" ref="Q18">IFERROR(AVERAGE(IF((HOUR($A$3:$A$120)=LEFT($M18,2)*1)*NOT(ISBLANK($A$3:$A$120)),G$3:G$120,"")),"-")</f>
        <v>84</v>
      </c>
      <c r="S18" s="80" t="s">
        <v>30</v>
      </c>
      <c r="T18" s="81" t="s">
        <v>6</v>
      </c>
      <c r="U18" s="58">
        <f ca="1">(T5-T7)/T5</f>
        <v>0.17890706578489374</v>
      </c>
      <c r="V18" s="82" t="s">
        <v>7</v>
      </c>
      <c r="W18" s="59">
        <f ca="1">(U5-U7)/U5</f>
        <v>0.2255051638976201</v>
      </c>
      <c r="Y18" s="129" t="s">
        <v>62</v>
      </c>
      <c r="Z18" s="130"/>
      <c r="AA18" s="130"/>
      <c r="AB18" s="130"/>
      <c r="AC18" s="130"/>
      <c r="AD18" s="131"/>
    </row>
    <row r="19" spans="1:30" s="13" customFormat="1" ht="15.75" thickBot="1">
      <c r="A19" s="47">
        <v>0.57916666666666672</v>
      </c>
      <c r="B19" s="7">
        <f t="shared" si="1"/>
        <v>15.000000000000107</v>
      </c>
      <c r="C19" s="17"/>
      <c r="D19" s="51">
        <v>121</v>
      </c>
      <c r="E19" s="52">
        <v>78</v>
      </c>
      <c r="F19" s="52">
        <v>92</v>
      </c>
      <c r="G19" s="52">
        <v>84</v>
      </c>
      <c r="H19" s="31">
        <f t="shared" si="2"/>
        <v>300.00000000000216</v>
      </c>
      <c r="I19" s="32">
        <f t="shared" si="0"/>
        <v>225.00000000000159</v>
      </c>
      <c r="J19" s="32">
        <f t="shared" si="0"/>
        <v>255.00000000000182</v>
      </c>
      <c r="K19" s="30">
        <f t="shared" si="0"/>
        <v>30.000000000000213</v>
      </c>
      <c r="M19" s="21" t="s">
        <v>50</v>
      </c>
      <c r="N19" s="35">
        <f t="array" ref="N19">IFERROR(AVERAGE(IF((HOUR($A$3:$A$120)=LEFT($M19,2)*1)*NOT(ISBLANK($A$3:$A$120)),D$3:D$120,"")),"-")</f>
        <v>90</v>
      </c>
      <c r="O19" s="35">
        <f t="array" ref="O19">IFERROR(AVERAGE(IF((HOUR($A$3:$A$120)=LEFT($M19,2)*1)*NOT(ISBLANK($A$3:$A$120)),E$3:E$120,"")),"-")</f>
        <v>48.5</v>
      </c>
      <c r="P19" s="35">
        <f t="array" ref="P19">IFERROR(AVERAGE(IF((HOUR($A$3:$A$120)=LEFT($M19,2)*1)*NOT(ISBLANK($A$3:$A$120)),F$3:F$120,"")),"-")</f>
        <v>62.5</v>
      </c>
      <c r="Q19" s="36">
        <f t="array" ref="Q19">IFERROR(AVERAGE(IF((HOUR($A$3:$A$120)=LEFT($M19,2)*1)*NOT(ISBLANK($A$3:$A$120)),G$3:G$120,"")),"-")</f>
        <v>74.5</v>
      </c>
      <c r="S19" s="83" t="s">
        <v>31</v>
      </c>
      <c r="T19" s="84" t="s">
        <v>6</v>
      </c>
      <c r="U19" s="61">
        <f ca="1">U18*100</f>
        <v>17.890706578489375</v>
      </c>
      <c r="V19" s="85" t="s">
        <v>7</v>
      </c>
      <c r="W19" s="62">
        <f ca="1">W18*100</f>
        <v>22.550516389762009</v>
      </c>
      <c r="Y19" s="132"/>
      <c r="Z19" s="133"/>
      <c r="AA19" s="133"/>
      <c r="AB19" s="133"/>
      <c r="AC19" s="133"/>
      <c r="AD19" s="134"/>
    </row>
    <row r="20" spans="1:30" s="13" customFormat="1" ht="15.75" thickBot="1">
      <c r="A20" s="47">
        <v>0.58958333333333335</v>
      </c>
      <c r="B20" s="7">
        <f t="shared" si="1"/>
        <v>14.999999999999947</v>
      </c>
      <c r="C20" s="17"/>
      <c r="D20" s="51">
        <v>120</v>
      </c>
      <c r="E20" s="52">
        <v>83</v>
      </c>
      <c r="F20" s="52">
        <v>95</v>
      </c>
      <c r="G20" s="52">
        <v>80</v>
      </c>
      <c r="H20" s="31">
        <f t="shared" si="2"/>
        <v>14.999999999999947</v>
      </c>
      <c r="I20" s="32">
        <f t="shared" si="2"/>
        <v>74.99999999999973</v>
      </c>
      <c r="J20" s="32">
        <f t="shared" si="2"/>
        <v>44.999999999999844</v>
      </c>
      <c r="K20" s="30">
        <f t="shared" si="2"/>
        <v>59.999999999999787</v>
      </c>
      <c r="M20" s="21" t="s">
        <v>51</v>
      </c>
      <c r="N20" s="35">
        <f t="array" ref="N20">IFERROR(AVERAGE(IF((HOUR($A$3:$A$120)=LEFT($M20,2)*1)*NOT(ISBLANK($A$3:$A$120)),D$3:D$120,"")),"-")</f>
        <v>95</v>
      </c>
      <c r="O20" s="35">
        <f t="array" ref="O20">IFERROR(AVERAGE(IF((HOUR($A$3:$A$120)=LEFT($M20,2)*1)*NOT(ISBLANK($A$3:$A$120)),E$3:E$120,"")),"-")</f>
        <v>64</v>
      </c>
      <c r="P20" s="35">
        <f t="array" ref="P20">IFERROR(AVERAGE(IF((HOUR($A$3:$A$120)=LEFT($M20,2)*1)*NOT(ISBLANK($A$3:$A$120)),F$3:F$120,"")),"-")</f>
        <v>74.5</v>
      </c>
      <c r="Q20" s="36">
        <f t="array" ref="Q20">IFERROR(AVERAGE(IF((HOUR($A$3:$A$120)=LEFT($M20,2)*1)*NOT(ISBLANK($A$3:$A$120)),G$3:G$120,"")),"-")</f>
        <v>67</v>
      </c>
      <c r="S20" s="86" t="s">
        <v>32</v>
      </c>
      <c r="T20" s="87" t="s">
        <v>6</v>
      </c>
      <c r="U20" s="88">
        <f>(N28+N27)/2-N23</f>
        <v>14.25</v>
      </c>
      <c r="V20" s="87" t="s">
        <v>7</v>
      </c>
      <c r="W20" s="89">
        <f>(O28+O27)/2-O23</f>
        <v>10.666666666666657</v>
      </c>
      <c r="X20" s="13" t="s">
        <v>61</v>
      </c>
      <c r="Y20" s="135"/>
      <c r="Z20" s="136"/>
      <c r="AA20" s="136"/>
      <c r="AB20" s="136"/>
      <c r="AC20" s="136"/>
      <c r="AD20" s="137"/>
    </row>
    <row r="21" spans="1:30" s="13" customFormat="1" ht="15.75" thickBot="1">
      <c r="A21" s="47">
        <v>0.63124999999999998</v>
      </c>
      <c r="B21" s="7">
        <f t="shared" si="1"/>
        <v>59.999999999999943</v>
      </c>
      <c r="C21" s="17"/>
      <c r="D21" s="51">
        <v>131</v>
      </c>
      <c r="E21" s="52">
        <v>86</v>
      </c>
      <c r="F21" s="52">
        <v>101</v>
      </c>
      <c r="G21" s="52">
        <v>89</v>
      </c>
      <c r="H21" s="31">
        <f t="shared" si="2"/>
        <v>659.99999999999932</v>
      </c>
      <c r="I21" s="32">
        <f t="shared" si="2"/>
        <v>179.99999999999983</v>
      </c>
      <c r="J21" s="32">
        <f t="shared" si="2"/>
        <v>359.99999999999966</v>
      </c>
      <c r="K21" s="30">
        <f t="shared" si="2"/>
        <v>539.99999999999955</v>
      </c>
      <c r="M21" s="21" t="s">
        <v>52</v>
      </c>
      <c r="N21" s="35">
        <f t="array" ref="N21">IFERROR(AVERAGE(IF((HOUR($A$3:$A$120)=LEFT($M21,2)*1)*NOT(ISBLANK($A$3:$A$120)),D$3:D$120,"")),"-")</f>
        <v>106.5</v>
      </c>
      <c r="O21" s="35">
        <f t="array" ref="O21">IFERROR(AVERAGE(IF((HOUR($A$3:$A$120)=LEFT($M21,2)*1)*NOT(ISBLANK($A$3:$A$120)),E$3:E$120,"")),"-")</f>
        <v>66</v>
      </c>
      <c r="P21" s="35">
        <f t="array" ref="P21">IFERROR(AVERAGE(IF((HOUR($A$3:$A$120)=LEFT($M21,2)*1)*NOT(ISBLANK($A$3:$A$120)),F$3:F$120,"")),"-")</f>
        <v>79.5</v>
      </c>
      <c r="Q21" s="36">
        <f t="array" ref="Q21">IFERROR(AVERAGE(IF((HOUR($A$3:$A$120)=LEFT($M21,2)*1)*NOT(ISBLANK($A$3:$A$120)),G$3:G$120,"")),"-")</f>
        <v>63.5</v>
      </c>
      <c r="S21" s="86" t="s">
        <v>33</v>
      </c>
      <c r="T21" s="167">
        <f t="array" aca="1" ref="T21" ca="1">1-INDEX(LINEST(TRANSPOSE(lst_PAD),TRANSPOSE(lst_PAS)),1)</f>
        <v>0.29015509583640109</v>
      </c>
      <c r="U21" s="90"/>
      <c r="V21" s="90"/>
      <c r="W21" s="91"/>
      <c r="X21" s="13" t="s">
        <v>61</v>
      </c>
      <c r="Y21" s="111" t="s">
        <v>63</v>
      </c>
      <c r="Z21" s="112"/>
      <c r="AA21" s="112"/>
      <c r="AB21" s="112"/>
      <c r="AC21" s="112"/>
      <c r="AD21" s="113"/>
    </row>
    <row r="22" spans="1:30" s="13" customFormat="1">
      <c r="A22" s="47">
        <v>0.66249999999999998</v>
      </c>
      <c r="B22" s="7">
        <f t="shared" si="1"/>
        <v>45</v>
      </c>
      <c r="C22" s="17"/>
      <c r="D22" s="51">
        <v>128</v>
      </c>
      <c r="E22" s="52">
        <v>78</v>
      </c>
      <c r="F22" s="52">
        <v>95</v>
      </c>
      <c r="G22" s="52">
        <v>80</v>
      </c>
      <c r="H22" s="31">
        <f t="shared" si="2"/>
        <v>135</v>
      </c>
      <c r="I22" s="32">
        <f t="shared" si="2"/>
        <v>360</v>
      </c>
      <c r="J22" s="32">
        <f t="shared" si="2"/>
        <v>270</v>
      </c>
      <c r="K22" s="30">
        <f t="shared" si="2"/>
        <v>405</v>
      </c>
      <c r="M22" s="21" t="s">
        <v>53</v>
      </c>
      <c r="N22" s="35">
        <f t="array" ref="N22">IFERROR(AVERAGE(IF((HOUR($A$3:$A$120)=LEFT($M22,2)*1)*NOT(ISBLANK($A$3:$A$120)),D$3:D$120,"")),"-")</f>
        <v>99</v>
      </c>
      <c r="O22" s="35">
        <f t="array" ref="O22">IFERROR(AVERAGE(IF((HOUR($A$3:$A$120)=LEFT($M22,2)*1)*NOT(ISBLANK($A$3:$A$120)),E$3:E$120,"")),"-")</f>
        <v>62</v>
      </c>
      <c r="P22" s="35">
        <f t="array" ref="P22">IFERROR(AVERAGE(IF((HOUR($A$3:$A$120)=LEFT($M22,2)*1)*NOT(ISBLANK($A$3:$A$120)),F$3:F$120,"")),"-")</f>
        <v>74.5</v>
      </c>
      <c r="Q22" s="36">
        <f t="array" ref="Q22">IFERROR(AVERAGE(IF((HOUR($A$3:$A$120)=LEFT($M22,2)*1)*NOT(ISBLANK($A$3:$A$120)),G$3:G$120,"")),"-")</f>
        <v>65</v>
      </c>
      <c r="S22" s="26"/>
      <c r="Y22" s="114"/>
      <c r="Z22" s="115"/>
      <c r="AA22" s="115"/>
      <c r="AB22" s="115"/>
      <c r="AC22" s="115"/>
      <c r="AD22" s="116"/>
    </row>
    <row r="23" spans="1:30" s="13" customFormat="1">
      <c r="A23" s="47">
        <v>0.67291666666666661</v>
      </c>
      <c r="B23" s="7">
        <f t="shared" si="1"/>
        <v>14.999999999999947</v>
      </c>
      <c r="C23" s="17"/>
      <c r="D23" s="51">
        <v>136</v>
      </c>
      <c r="E23" s="52">
        <v>73</v>
      </c>
      <c r="F23" s="52">
        <v>94</v>
      </c>
      <c r="G23" s="52">
        <v>92</v>
      </c>
      <c r="H23" s="31">
        <f t="shared" si="2"/>
        <v>119.99999999999957</v>
      </c>
      <c r="I23" s="32">
        <f t="shared" si="2"/>
        <v>74.99999999999973</v>
      </c>
      <c r="J23" s="32">
        <f t="shared" si="2"/>
        <v>14.999999999999947</v>
      </c>
      <c r="K23" s="30">
        <f t="shared" si="2"/>
        <v>179.99999999999937</v>
      </c>
      <c r="M23" s="21" t="s">
        <v>54</v>
      </c>
      <c r="N23" s="35">
        <f t="array" ref="N23">IFERROR(AVERAGE(IF((HOUR($A$3:$A$120)=LEFT($M23,2)*1)*NOT(ISBLANK($A$3:$A$120)),D$3:D$120,"")),"-")</f>
        <v>90.5</v>
      </c>
      <c r="O23" s="35">
        <f t="array" ref="O23">IFERROR(AVERAGE(IF((HOUR($A$3:$A$120)=LEFT($M23,2)*1)*NOT(ISBLANK($A$3:$A$120)),E$3:E$120,"")),"-")</f>
        <v>56</v>
      </c>
      <c r="P23" s="35">
        <f t="array" ref="P23">IFERROR(AVERAGE(IF((HOUR($A$3:$A$120)=LEFT($M23,2)*1)*NOT(ISBLANK($A$3:$A$120)),F$3:F$120,"")),"-")</f>
        <v>67.5</v>
      </c>
      <c r="Q23" s="36">
        <f t="array" ref="Q23">IFERROR(AVERAGE(IF((HOUR($A$3:$A$120)=LEFT($M23,2)*1)*NOT(ISBLANK($A$3:$A$120)),G$3:G$120,"")),"-")</f>
        <v>64.5</v>
      </c>
      <c r="S23" s="26"/>
      <c r="Y23" s="114"/>
      <c r="Z23" s="115"/>
      <c r="AA23" s="115"/>
      <c r="AB23" s="115"/>
      <c r="AC23" s="115"/>
      <c r="AD23" s="116"/>
    </row>
    <row r="24" spans="1:30" s="13" customFormat="1" ht="15.75" thickBot="1">
      <c r="A24" s="47">
        <v>0.68333333333333324</v>
      </c>
      <c r="B24" s="7">
        <f t="shared" si="1"/>
        <v>14.999999999999947</v>
      </c>
      <c r="C24" s="17"/>
      <c r="D24" s="51">
        <v>117</v>
      </c>
      <c r="E24" s="52">
        <v>75</v>
      </c>
      <c r="F24" s="52">
        <v>89</v>
      </c>
      <c r="G24" s="52">
        <v>80</v>
      </c>
      <c r="H24" s="31">
        <f t="shared" si="2"/>
        <v>284.99999999999898</v>
      </c>
      <c r="I24" s="32">
        <f t="shared" si="2"/>
        <v>29.999999999999893</v>
      </c>
      <c r="J24" s="32">
        <f t="shared" si="2"/>
        <v>74.99999999999973</v>
      </c>
      <c r="K24" s="30">
        <f t="shared" si="2"/>
        <v>179.99999999999937</v>
      </c>
      <c r="M24" s="21" t="s">
        <v>55</v>
      </c>
      <c r="N24" s="35">
        <f t="array" ref="N24">IFERROR(AVERAGE(IF((HOUR($A$3:$A$120)=LEFT($M24,2)*1)*NOT(ISBLANK($A$3:$A$120)),D$3:D$120,"")),"-")</f>
        <v>111</v>
      </c>
      <c r="O24" s="35">
        <f t="array" ref="O24">IFERROR(AVERAGE(IF((HOUR($A$3:$A$120)=LEFT($M24,2)*1)*NOT(ISBLANK($A$3:$A$120)),E$3:E$120,"")),"-")</f>
        <v>67</v>
      </c>
      <c r="P24" s="35">
        <f t="array" ref="P24">IFERROR(AVERAGE(IF((HOUR($A$3:$A$120)=LEFT($M24,2)*1)*NOT(ISBLANK($A$3:$A$120)),F$3:F$120,"")),"-")</f>
        <v>81.5</v>
      </c>
      <c r="Q24" s="36">
        <f t="array" ref="Q24">IFERROR(AVERAGE(IF((HOUR($A$3:$A$120)=LEFT($M24,2)*1)*NOT(ISBLANK($A$3:$A$120)),G$3:G$120,"")),"-")</f>
        <v>63</v>
      </c>
      <c r="S24" s="26"/>
      <c r="Y24" s="117"/>
      <c r="Z24" s="118"/>
      <c r="AA24" s="118"/>
      <c r="AB24" s="118"/>
      <c r="AC24" s="118"/>
      <c r="AD24" s="119"/>
    </row>
    <row r="25" spans="1:30" s="13" customFormat="1">
      <c r="A25" s="47">
        <v>0.69374999999999998</v>
      </c>
      <c r="B25" s="7">
        <f t="shared" si="1"/>
        <v>15.000000000000107</v>
      </c>
      <c r="C25" s="17"/>
      <c r="D25" s="51">
        <v>117</v>
      </c>
      <c r="E25" s="52">
        <v>72</v>
      </c>
      <c r="F25" s="52">
        <v>87</v>
      </c>
      <c r="G25" s="52">
        <v>78</v>
      </c>
      <c r="H25" s="31">
        <f t="shared" si="2"/>
        <v>0</v>
      </c>
      <c r="I25" s="32">
        <f t="shared" si="2"/>
        <v>45.00000000000032</v>
      </c>
      <c r="J25" s="32">
        <f t="shared" si="2"/>
        <v>30.000000000000213</v>
      </c>
      <c r="K25" s="30">
        <f t="shared" si="2"/>
        <v>30.000000000000213</v>
      </c>
      <c r="M25" s="21" t="s">
        <v>56</v>
      </c>
      <c r="N25" s="35">
        <f t="array" ref="N25">IFERROR(AVERAGE(IF((HOUR($A$3:$A$120)=LEFT($M25,2)*1)*NOT(ISBLANK($A$3:$A$120)),D$3:D$120,"")),"-")</f>
        <v>101</v>
      </c>
      <c r="O25" s="35">
        <f t="array" ref="O25">IFERROR(AVERAGE(IF((HOUR($A$3:$A$120)=LEFT($M25,2)*1)*NOT(ISBLANK($A$3:$A$120)),E$3:E$120,"")),"-")</f>
        <v>67</v>
      </c>
      <c r="P25" s="35">
        <f t="array" ref="P25">IFERROR(AVERAGE(IF((HOUR($A$3:$A$120)=LEFT($M25,2)*1)*NOT(ISBLANK($A$3:$A$120)),F$3:F$120,"")),"-")</f>
        <v>78.5</v>
      </c>
      <c r="Q25" s="36">
        <f t="array" ref="Q25">IFERROR(AVERAGE(IF((HOUR($A$3:$A$120)=LEFT($M25,2)*1)*NOT(ISBLANK($A$3:$A$120)),G$3:G$120,"")),"-")</f>
        <v>60.5</v>
      </c>
      <c r="S25" s="26"/>
    </row>
    <row r="26" spans="1:30" s="13" customFormat="1">
      <c r="A26" s="47">
        <v>0.70416666666666661</v>
      </c>
      <c r="B26" s="7">
        <f t="shared" si="1"/>
        <v>14.999999999999947</v>
      </c>
      <c r="C26" s="17"/>
      <c r="D26" s="51">
        <v>116</v>
      </c>
      <c r="E26" s="52">
        <v>75</v>
      </c>
      <c r="F26" s="52">
        <v>89</v>
      </c>
      <c r="G26" s="52">
        <v>75</v>
      </c>
      <c r="H26" s="31">
        <f t="shared" si="2"/>
        <v>14.999999999999947</v>
      </c>
      <c r="I26" s="32">
        <f t="shared" si="2"/>
        <v>44.999999999999844</v>
      </c>
      <c r="J26" s="32">
        <f t="shared" si="2"/>
        <v>29.999999999999893</v>
      </c>
      <c r="K26" s="30">
        <f t="shared" si="2"/>
        <v>44.999999999999844</v>
      </c>
      <c r="M26" s="21" t="s">
        <v>57</v>
      </c>
      <c r="N26" s="35">
        <f t="array" ref="N26">IFERROR(AVERAGE(IF((HOUR($A$30:$A$120)=LEFT($M26,2)*1)*NOT(ISBLANK($A$30:$A$120)),D$30:D$120,"")),"-")</f>
        <v>93.5</v>
      </c>
      <c r="O26" s="35">
        <f t="array" ref="O26">IFERROR(AVERAGE(IF((HOUR($A$30:$A$120)=LEFT($M26,2)*1)*NOT(ISBLANK($A$30:$A$120)),E$30:E$120,"")),"-")</f>
        <v>62.5</v>
      </c>
      <c r="P26" s="35">
        <f t="array" ref="P26">IFERROR(AVERAGE(IF((HOUR($A$30:$A$120)=LEFT($M26,2)*1)*NOT(ISBLANK($A$30:$A$120)),F$30:F$120,"")),"-")</f>
        <v>72.5</v>
      </c>
      <c r="Q26" s="36">
        <f t="array" ref="Q26">IFERROR(AVERAGE(IF((HOUR($A$30:$A$120)=LEFT($M26,2)*1)*NOT(ISBLANK($A$30:$A$120)),G$30:G$120,"")),"-")</f>
        <v>61</v>
      </c>
      <c r="S26" s="26"/>
    </row>
    <row r="27" spans="1:30" s="13" customFormat="1">
      <c r="A27" s="47">
        <v>0.71458333333333324</v>
      </c>
      <c r="B27" s="7">
        <f t="shared" si="1"/>
        <v>14.999999999999947</v>
      </c>
      <c r="C27" s="17"/>
      <c r="D27" s="51">
        <v>117</v>
      </c>
      <c r="E27" s="52">
        <v>82</v>
      </c>
      <c r="F27" s="52">
        <v>94</v>
      </c>
      <c r="G27" s="52">
        <v>90</v>
      </c>
      <c r="H27" s="31">
        <f t="shared" si="2"/>
        <v>14.999999999999947</v>
      </c>
      <c r="I27" s="32">
        <f t="shared" si="2"/>
        <v>104.99999999999963</v>
      </c>
      <c r="J27" s="32">
        <f t="shared" si="2"/>
        <v>74.99999999999973</v>
      </c>
      <c r="K27" s="30">
        <f t="shared" si="2"/>
        <v>224.9999999999992</v>
      </c>
      <c r="M27" s="21" t="s">
        <v>34</v>
      </c>
      <c r="N27" s="35">
        <f t="array" ref="N27">IFERROR(AVERAGE(IF((HOUR($A$30:$A$120)=LEFT($M27,2)*1)*NOT(ISBLANK($A$30:$A$120)),D$30:D$120,"")),"-")</f>
        <v>109</v>
      </c>
      <c r="O27" s="35">
        <f t="array" ref="O27">IFERROR(AVERAGE(IF((HOUR($A$30:$A$120)=LEFT($M27,2)*1)*NOT(ISBLANK($A$30:$A$120)),E$30:E$120,"")),"-")</f>
        <v>67.333333333333329</v>
      </c>
      <c r="P27" s="35">
        <f t="array" ref="P27">IFERROR(AVERAGE(IF((HOUR($A$30:$A$120)=LEFT($M27,2)*1)*NOT(ISBLANK($A$30:$A$120)),F$30:F$120,"")),"-")</f>
        <v>81.333333333333329</v>
      </c>
      <c r="Q27" s="36">
        <f t="array" ref="Q27">IFERROR(AVERAGE(IF((HOUR($A$30:$A$120)=LEFT($M27,2)*1)*NOT(ISBLANK($A$30:$A$120)),G$30:G$120,"")),"-")</f>
        <v>66.666666666666671</v>
      </c>
      <c r="S27" s="26"/>
    </row>
    <row r="28" spans="1:30" s="13" customFormat="1" ht="15.75" thickBot="1">
      <c r="A28" s="47">
        <v>0.72499999999999998</v>
      </c>
      <c r="B28" s="7">
        <f t="shared" si="1"/>
        <v>15.000000000000107</v>
      </c>
      <c r="C28" s="17"/>
      <c r="D28" s="51">
        <v>118</v>
      </c>
      <c r="E28" s="52">
        <v>59</v>
      </c>
      <c r="F28" s="52">
        <v>79</v>
      </c>
      <c r="G28" s="52">
        <v>106</v>
      </c>
      <c r="H28" s="31">
        <f t="shared" si="2"/>
        <v>15.000000000000107</v>
      </c>
      <c r="I28" s="32">
        <f t="shared" si="2"/>
        <v>345.00000000000244</v>
      </c>
      <c r="J28" s="32">
        <f t="shared" si="2"/>
        <v>225.00000000000159</v>
      </c>
      <c r="K28" s="30">
        <f t="shared" si="2"/>
        <v>240.00000000000171</v>
      </c>
      <c r="M28" s="29" t="s">
        <v>35</v>
      </c>
      <c r="N28" s="33">
        <f t="array" ref="N28">IFERROR(AVERAGE(IF((HOUR($A$30:$A$120)=LEFT($M28,2)*1)*NOT(ISBLANK($A$30:$A$120)),D$30:D$120,"")),"-")</f>
        <v>100.5</v>
      </c>
      <c r="O28" s="33">
        <f t="array" ref="O28">IFERROR(AVERAGE(IF((HOUR($A$30:$A$120)=LEFT($M28,2)*1)*NOT(ISBLANK($A$30:$A$120)),E$30:E$120,"")),"-")</f>
        <v>66</v>
      </c>
      <c r="P28" s="33">
        <f t="array" ref="P28">IFERROR(AVERAGE(IF((HOUR($A$30:$A$120)=LEFT($M28,2)*1)*NOT(ISBLANK($A$30:$A$120)),F$30:F$120,"")),"-")</f>
        <v>77.5</v>
      </c>
      <c r="Q28" s="34">
        <f t="array" ref="Q28">IFERROR(AVERAGE(IF((HOUR($A$30:$A$120)=LEFT($M28,2)*1)*NOT(ISBLANK($A$30:$A$120)),G$30:G$120,"")),"-")</f>
        <v>110.5</v>
      </c>
      <c r="S28" s="26"/>
    </row>
    <row r="29" spans="1:30" s="13" customFormat="1">
      <c r="A29" s="47">
        <v>0.73541666666666661</v>
      </c>
      <c r="B29" s="7">
        <f t="shared" si="1"/>
        <v>14.999999999999947</v>
      </c>
      <c r="C29" s="17"/>
      <c r="D29" s="51">
        <v>132</v>
      </c>
      <c r="E29" s="52">
        <v>89</v>
      </c>
      <c r="F29" s="52">
        <v>103</v>
      </c>
      <c r="G29" s="52">
        <v>98</v>
      </c>
      <c r="H29" s="31">
        <f t="shared" si="2"/>
        <v>209.99999999999926</v>
      </c>
      <c r="I29" s="32">
        <f t="shared" si="2"/>
        <v>449.99999999999841</v>
      </c>
      <c r="J29" s="32">
        <f t="shared" si="2"/>
        <v>359.99999999999875</v>
      </c>
      <c r="K29" s="30">
        <f t="shared" si="2"/>
        <v>119.99999999999957</v>
      </c>
      <c r="S29" s="26"/>
    </row>
    <row r="30" spans="1:30" s="13" customFormat="1">
      <c r="A30" s="47">
        <v>0.74583333333333324</v>
      </c>
      <c r="B30" s="7">
        <f t="shared" si="1"/>
        <v>14.999999999999947</v>
      </c>
      <c r="C30" s="17"/>
      <c r="D30" s="51">
        <v>128</v>
      </c>
      <c r="E30" s="52">
        <v>80</v>
      </c>
      <c r="F30" s="52">
        <v>96</v>
      </c>
      <c r="G30" s="52">
        <v>82</v>
      </c>
      <c r="H30" s="31">
        <f t="shared" si="2"/>
        <v>59.999999999999787</v>
      </c>
      <c r="I30" s="32">
        <f t="shared" si="2"/>
        <v>134.99999999999952</v>
      </c>
      <c r="J30" s="32">
        <f t="shared" si="2"/>
        <v>104.99999999999963</v>
      </c>
      <c r="K30" s="30">
        <f t="shared" si="2"/>
        <v>239.99999999999915</v>
      </c>
      <c r="S30" s="26"/>
    </row>
    <row r="31" spans="1:30" s="13" customFormat="1">
      <c r="A31" s="47">
        <v>0.75624999999999998</v>
      </c>
      <c r="B31" s="7">
        <f t="shared" si="1"/>
        <v>15.000000000000107</v>
      </c>
      <c r="C31" s="17"/>
      <c r="D31" s="51">
        <v>124</v>
      </c>
      <c r="E31" s="52">
        <v>86</v>
      </c>
      <c r="F31" s="52">
        <v>99</v>
      </c>
      <c r="G31" s="52">
        <v>97</v>
      </c>
      <c r="H31" s="31">
        <f t="shared" si="2"/>
        <v>60.000000000000426</v>
      </c>
      <c r="I31" s="32">
        <f t="shared" si="2"/>
        <v>90.000000000000639</v>
      </c>
      <c r="J31" s="32">
        <f t="shared" si="2"/>
        <v>45.00000000000032</v>
      </c>
      <c r="K31" s="30">
        <f t="shared" si="2"/>
        <v>225.00000000000159</v>
      </c>
      <c r="S31" s="26"/>
    </row>
    <row r="32" spans="1:30" s="13" customFormat="1">
      <c r="A32" s="47">
        <v>0.77708333333333324</v>
      </c>
      <c r="B32" s="7">
        <f t="shared" si="1"/>
        <v>29.999999999999893</v>
      </c>
      <c r="C32" s="17"/>
      <c r="D32" s="51">
        <v>125</v>
      </c>
      <c r="E32" s="52">
        <v>77</v>
      </c>
      <c r="F32" s="52">
        <v>93</v>
      </c>
      <c r="G32" s="52">
        <v>92</v>
      </c>
      <c r="H32" s="31">
        <f t="shared" si="2"/>
        <v>29.999999999999893</v>
      </c>
      <c r="I32" s="32">
        <f t="shared" si="2"/>
        <v>269.99999999999903</v>
      </c>
      <c r="J32" s="32">
        <f t="shared" si="2"/>
        <v>179.99999999999937</v>
      </c>
      <c r="K32" s="30">
        <f t="shared" si="2"/>
        <v>149.99999999999946</v>
      </c>
      <c r="S32" s="26"/>
    </row>
    <row r="33" spans="1:19" s="13" customFormat="1">
      <c r="A33" s="47">
        <v>0.78749999999999998</v>
      </c>
      <c r="B33" s="7">
        <f t="shared" si="1"/>
        <v>15.000000000000107</v>
      </c>
      <c r="C33" s="17"/>
      <c r="D33" s="51">
        <v>106</v>
      </c>
      <c r="E33" s="52">
        <v>71</v>
      </c>
      <c r="F33" s="52">
        <v>83</v>
      </c>
      <c r="G33" s="52">
        <v>76</v>
      </c>
      <c r="H33" s="31">
        <f t="shared" si="2"/>
        <v>285.00000000000205</v>
      </c>
      <c r="I33" s="32">
        <f t="shared" si="2"/>
        <v>90.000000000000639</v>
      </c>
      <c r="J33" s="32">
        <f t="shared" si="2"/>
        <v>150.00000000000108</v>
      </c>
      <c r="K33" s="30">
        <f t="shared" si="2"/>
        <v>240.00000000000171</v>
      </c>
      <c r="S33" s="26"/>
    </row>
    <row r="34" spans="1:19" s="13" customFormat="1">
      <c r="A34" s="47">
        <v>0.79791666666666661</v>
      </c>
      <c r="B34" s="7">
        <f t="shared" si="1"/>
        <v>14.999999999999947</v>
      </c>
      <c r="C34" s="17"/>
      <c r="D34" s="51">
        <v>119</v>
      </c>
      <c r="E34" s="52">
        <v>84</v>
      </c>
      <c r="F34" s="52">
        <v>96</v>
      </c>
      <c r="G34" s="52">
        <v>87</v>
      </c>
      <c r="H34" s="31">
        <f t="shared" si="2"/>
        <v>194.99999999999932</v>
      </c>
      <c r="I34" s="32">
        <f t="shared" si="2"/>
        <v>194.99999999999932</v>
      </c>
      <c r="J34" s="32">
        <f t="shared" si="2"/>
        <v>194.99999999999932</v>
      </c>
      <c r="K34" s="30">
        <f t="shared" si="2"/>
        <v>164.9999999999994</v>
      </c>
      <c r="S34" s="26"/>
    </row>
    <row r="35" spans="1:19" s="13" customFormat="1">
      <c r="A35" s="47">
        <v>0.80833333333333324</v>
      </c>
      <c r="B35" s="7">
        <f t="shared" si="1"/>
        <v>14.999999999999947</v>
      </c>
      <c r="C35" s="17"/>
      <c r="D35" s="51">
        <v>103</v>
      </c>
      <c r="E35" s="52">
        <v>71</v>
      </c>
      <c r="F35" s="52">
        <v>82</v>
      </c>
      <c r="G35" s="52">
        <v>81</v>
      </c>
      <c r="H35" s="31">
        <f t="shared" si="2"/>
        <v>239.99999999999915</v>
      </c>
      <c r="I35" s="32">
        <f t="shared" si="2"/>
        <v>194.99999999999932</v>
      </c>
      <c r="J35" s="32">
        <f t="shared" si="2"/>
        <v>209.99999999999926</v>
      </c>
      <c r="K35" s="30">
        <f t="shared" si="2"/>
        <v>89.999999999999687</v>
      </c>
      <c r="M35" s="98"/>
      <c r="S35" s="26"/>
    </row>
    <row r="36" spans="1:19" s="13" customFormat="1">
      <c r="A36" s="47">
        <v>0.81874999999999998</v>
      </c>
      <c r="B36" s="7">
        <f t="shared" si="1"/>
        <v>15.000000000000107</v>
      </c>
      <c r="C36" s="17"/>
      <c r="D36" s="51">
        <v>121</v>
      </c>
      <c r="E36" s="52">
        <v>79</v>
      </c>
      <c r="F36" s="52">
        <v>93</v>
      </c>
      <c r="G36" s="52">
        <v>86</v>
      </c>
      <c r="H36" s="31">
        <f t="shared" si="2"/>
        <v>270.00000000000193</v>
      </c>
      <c r="I36" s="32">
        <f t="shared" si="2"/>
        <v>120.00000000000085</v>
      </c>
      <c r="J36" s="32">
        <f t="shared" si="2"/>
        <v>165.00000000000117</v>
      </c>
      <c r="K36" s="30">
        <f t="shared" si="2"/>
        <v>75.00000000000054</v>
      </c>
      <c r="S36" s="26"/>
    </row>
    <row r="37" spans="1:19" s="13" customFormat="1">
      <c r="A37" s="47">
        <v>0.82916666666666661</v>
      </c>
      <c r="B37" s="7">
        <f t="shared" si="1"/>
        <v>14.999999999999947</v>
      </c>
      <c r="C37" s="17"/>
      <c r="D37" s="51">
        <v>106</v>
      </c>
      <c r="E37" s="52">
        <v>72</v>
      </c>
      <c r="F37" s="52">
        <v>83</v>
      </c>
      <c r="G37" s="52">
        <v>80</v>
      </c>
      <c r="H37" s="31">
        <f t="shared" si="2"/>
        <v>224.9999999999992</v>
      </c>
      <c r="I37" s="32">
        <f t="shared" si="2"/>
        <v>104.99999999999963</v>
      </c>
      <c r="J37" s="32">
        <f t="shared" si="2"/>
        <v>149.99999999999946</v>
      </c>
      <c r="K37" s="30">
        <f t="shared" si="2"/>
        <v>89.999999999999687</v>
      </c>
      <c r="S37" s="26"/>
    </row>
    <row r="38" spans="1:19" s="13" customFormat="1">
      <c r="A38" s="47">
        <v>0.83958333333333324</v>
      </c>
      <c r="B38" s="7">
        <f t="shared" si="1"/>
        <v>14.999999999999947</v>
      </c>
      <c r="C38" s="17"/>
      <c r="D38" s="51">
        <v>114</v>
      </c>
      <c r="E38" s="52">
        <v>78</v>
      </c>
      <c r="F38" s="52">
        <v>90</v>
      </c>
      <c r="G38" s="52">
        <v>96</v>
      </c>
      <c r="H38" s="31">
        <f t="shared" si="2"/>
        <v>119.99999999999957</v>
      </c>
      <c r="I38" s="32">
        <f t="shared" si="2"/>
        <v>89.999999999999687</v>
      </c>
      <c r="J38" s="32">
        <f t="shared" si="2"/>
        <v>104.99999999999963</v>
      </c>
      <c r="K38" s="30">
        <f t="shared" si="2"/>
        <v>239.99999999999915</v>
      </c>
      <c r="S38" s="26"/>
    </row>
    <row r="39" spans="1:19" s="13" customFormat="1">
      <c r="A39" s="47">
        <v>0.85</v>
      </c>
      <c r="B39" s="7">
        <f t="shared" si="1"/>
        <v>15.000000000000107</v>
      </c>
      <c r="C39" s="17"/>
      <c r="D39" s="51">
        <v>112</v>
      </c>
      <c r="E39" s="52">
        <v>70</v>
      </c>
      <c r="F39" s="52">
        <v>84</v>
      </c>
      <c r="G39" s="52">
        <v>86</v>
      </c>
      <c r="H39" s="31">
        <f t="shared" si="2"/>
        <v>30.000000000000213</v>
      </c>
      <c r="I39" s="32">
        <f t="shared" si="2"/>
        <v>120.00000000000085</v>
      </c>
      <c r="J39" s="32">
        <f t="shared" si="2"/>
        <v>90.000000000000639</v>
      </c>
      <c r="K39" s="30">
        <f t="shared" si="2"/>
        <v>150.00000000000108</v>
      </c>
      <c r="S39" s="26"/>
    </row>
    <row r="40" spans="1:19" s="13" customFormat="1">
      <c r="A40" s="47">
        <v>0.86041666666666661</v>
      </c>
      <c r="B40" s="7">
        <f t="shared" si="1"/>
        <v>14.999999999999947</v>
      </c>
      <c r="C40" s="17"/>
      <c r="D40" s="51">
        <v>113</v>
      </c>
      <c r="E40" s="52">
        <v>78</v>
      </c>
      <c r="F40" s="52">
        <v>90</v>
      </c>
      <c r="G40" s="52">
        <v>80</v>
      </c>
      <c r="H40" s="31">
        <f t="shared" si="2"/>
        <v>14.999999999999947</v>
      </c>
      <c r="I40" s="32">
        <f t="shared" si="2"/>
        <v>119.99999999999957</v>
      </c>
      <c r="J40" s="32">
        <f t="shared" si="2"/>
        <v>89.999999999999687</v>
      </c>
      <c r="K40" s="30">
        <f t="shared" si="2"/>
        <v>89.999999999999687</v>
      </c>
      <c r="S40" s="26"/>
    </row>
    <row r="41" spans="1:19" s="13" customFormat="1">
      <c r="A41" s="47">
        <v>0.87083333333333324</v>
      </c>
      <c r="B41" s="7">
        <f t="shared" si="1"/>
        <v>14.999999999999947</v>
      </c>
      <c r="C41" s="17"/>
      <c r="D41" s="51">
        <v>104</v>
      </c>
      <c r="E41" s="52">
        <v>72</v>
      </c>
      <c r="F41" s="52">
        <v>83</v>
      </c>
      <c r="G41" s="52">
        <v>80</v>
      </c>
      <c r="H41" s="31">
        <f t="shared" si="2"/>
        <v>134.99999999999952</v>
      </c>
      <c r="I41" s="32">
        <f t="shared" si="2"/>
        <v>89.999999999999687</v>
      </c>
      <c r="J41" s="32">
        <f t="shared" si="2"/>
        <v>104.99999999999963</v>
      </c>
      <c r="K41" s="30">
        <f t="shared" si="2"/>
        <v>0</v>
      </c>
      <c r="S41" s="26"/>
    </row>
    <row r="42" spans="1:19" s="13" customFormat="1">
      <c r="A42" s="47">
        <v>0.88124999999999998</v>
      </c>
      <c r="B42" s="7">
        <f t="shared" si="1"/>
        <v>15.000000000000107</v>
      </c>
      <c r="C42" s="17"/>
      <c r="D42" s="51">
        <v>133</v>
      </c>
      <c r="E42" s="52">
        <v>89</v>
      </c>
      <c r="F42" s="52">
        <v>104</v>
      </c>
      <c r="G42" s="52">
        <v>99</v>
      </c>
      <c r="H42" s="31">
        <f t="shared" si="2"/>
        <v>435.00000000000307</v>
      </c>
      <c r="I42" s="32">
        <f t="shared" si="2"/>
        <v>255.00000000000182</v>
      </c>
      <c r="J42" s="32">
        <f t="shared" si="2"/>
        <v>315.00000000000222</v>
      </c>
      <c r="K42" s="30">
        <f t="shared" si="2"/>
        <v>285.00000000000205</v>
      </c>
      <c r="S42" s="26"/>
    </row>
    <row r="43" spans="1:19" s="13" customFormat="1">
      <c r="A43" s="47">
        <v>0.89166666666666661</v>
      </c>
      <c r="B43" s="7">
        <f t="shared" si="1"/>
        <v>14.999999999999947</v>
      </c>
      <c r="C43" s="17"/>
      <c r="D43" s="51">
        <v>123</v>
      </c>
      <c r="E43" s="52">
        <v>86</v>
      </c>
      <c r="F43" s="52">
        <v>98</v>
      </c>
      <c r="G43" s="52">
        <v>92</v>
      </c>
      <c r="H43" s="31">
        <f t="shared" si="2"/>
        <v>149.99999999999946</v>
      </c>
      <c r="I43" s="32">
        <f t="shared" si="2"/>
        <v>44.999999999999844</v>
      </c>
      <c r="J43" s="32">
        <f t="shared" si="2"/>
        <v>89.999999999999687</v>
      </c>
      <c r="K43" s="30">
        <f t="shared" si="2"/>
        <v>104.99999999999963</v>
      </c>
      <c r="S43" s="26"/>
    </row>
    <row r="44" spans="1:19" s="13" customFormat="1">
      <c r="A44" s="47">
        <v>0.90208333333333324</v>
      </c>
      <c r="B44" s="7">
        <f t="shared" si="1"/>
        <v>14.999999999999947</v>
      </c>
      <c r="C44" s="17"/>
      <c r="D44" s="51">
        <v>132</v>
      </c>
      <c r="E44" s="52">
        <v>81</v>
      </c>
      <c r="F44" s="52">
        <v>98</v>
      </c>
      <c r="G44" s="52">
        <v>83</v>
      </c>
      <c r="H44" s="31">
        <f t="shared" si="2"/>
        <v>134.99999999999952</v>
      </c>
      <c r="I44" s="32">
        <f t="shared" si="2"/>
        <v>74.99999999999973</v>
      </c>
      <c r="J44" s="32">
        <f t="shared" si="2"/>
        <v>0</v>
      </c>
      <c r="K44" s="30">
        <f t="shared" si="2"/>
        <v>134.99999999999952</v>
      </c>
      <c r="S44" s="26"/>
    </row>
    <row r="45" spans="1:19" s="13" customFormat="1">
      <c r="A45" s="47">
        <v>0.91249999999999998</v>
      </c>
      <c r="B45" s="7">
        <f t="shared" si="1"/>
        <v>15.000000000000107</v>
      </c>
      <c r="C45" s="17"/>
      <c r="D45" s="51">
        <v>117</v>
      </c>
      <c r="E45" s="52">
        <v>77</v>
      </c>
      <c r="F45" s="52">
        <v>90</v>
      </c>
      <c r="G45" s="52">
        <v>88</v>
      </c>
      <c r="H45" s="31">
        <f t="shared" si="2"/>
        <v>225.00000000000159</v>
      </c>
      <c r="I45" s="32">
        <f t="shared" si="2"/>
        <v>60.000000000000426</v>
      </c>
      <c r="J45" s="32">
        <f t="shared" si="2"/>
        <v>120.00000000000085</v>
      </c>
      <c r="K45" s="30">
        <f t="shared" si="2"/>
        <v>75.00000000000054</v>
      </c>
      <c r="S45" s="26"/>
    </row>
    <row r="46" spans="1:19" s="13" customFormat="1">
      <c r="A46" s="47">
        <v>0.93333333333333324</v>
      </c>
      <c r="B46" s="7">
        <f t="shared" si="1"/>
        <v>29.999999999999893</v>
      </c>
      <c r="C46" s="17"/>
      <c r="D46" s="51">
        <v>119</v>
      </c>
      <c r="E46" s="52">
        <v>87</v>
      </c>
      <c r="F46" s="52">
        <v>98</v>
      </c>
      <c r="G46" s="52">
        <v>87</v>
      </c>
      <c r="H46" s="31">
        <f t="shared" si="2"/>
        <v>59.999999999999787</v>
      </c>
      <c r="I46" s="32">
        <f t="shared" si="2"/>
        <v>299.99999999999892</v>
      </c>
      <c r="J46" s="32">
        <f t="shared" si="2"/>
        <v>239.99999999999915</v>
      </c>
      <c r="K46" s="30">
        <f t="shared" si="2"/>
        <v>29.999999999999893</v>
      </c>
      <c r="S46" s="26"/>
    </row>
    <row r="47" spans="1:19" s="13" customFormat="1">
      <c r="A47" s="47">
        <v>0.94374999999999998</v>
      </c>
      <c r="B47" s="7">
        <f t="shared" si="1"/>
        <v>15.000000000000107</v>
      </c>
      <c r="C47" s="17"/>
      <c r="D47" s="51">
        <v>118</v>
      </c>
      <c r="E47" s="52">
        <v>89</v>
      </c>
      <c r="F47" s="52">
        <v>99</v>
      </c>
      <c r="G47" s="52">
        <v>81</v>
      </c>
      <c r="H47" s="31">
        <f t="shared" si="2"/>
        <v>15.000000000000107</v>
      </c>
      <c r="I47" s="32">
        <f t="shared" si="2"/>
        <v>30.000000000000213</v>
      </c>
      <c r="J47" s="32">
        <f t="shared" si="2"/>
        <v>15.000000000000107</v>
      </c>
      <c r="K47" s="30">
        <f t="shared" si="2"/>
        <v>90.000000000000639</v>
      </c>
      <c r="S47" s="26"/>
    </row>
    <row r="48" spans="1:19" s="13" customFormat="1">
      <c r="A48" s="47">
        <v>0.96458333333333324</v>
      </c>
      <c r="B48" s="7">
        <f t="shared" si="1"/>
        <v>29.999999999999893</v>
      </c>
      <c r="C48" s="17"/>
      <c r="D48" s="51">
        <v>91</v>
      </c>
      <c r="E48" s="52">
        <v>52</v>
      </c>
      <c r="F48" s="52">
        <v>65</v>
      </c>
      <c r="G48" s="52">
        <v>74</v>
      </c>
      <c r="H48" s="31">
        <f t="shared" si="2"/>
        <v>809.99999999999716</v>
      </c>
      <c r="I48" s="32">
        <f t="shared" si="2"/>
        <v>1109.9999999999961</v>
      </c>
      <c r="J48" s="32">
        <f t="shared" si="2"/>
        <v>1019.9999999999964</v>
      </c>
      <c r="K48" s="30">
        <f t="shared" si="2"/>
        <v>209.99999999999926</v>
      </c>
      <c r="S48" s="26"/>
    </row>
    <row r="49" spans="1:19" s="13" customFormat="1">
      <c r="A49" s="99">
        <v>0.98541666666666661</v>
      </c>
      <c r="B49" s="100">
        <f t="shared" si="1"/>
        <v>30.000000000000053</v>
      </c>
      <c r="C49" s="101"/>
      <c r="D49" s="102">
        <v>89</v>
      </c>
      <c r="E49" s="103">
        <v>45</v>
      </c>
      <c r="F49" s="103">
        <v>60</v>
      </c>
      <c r="G49" s="103">
        <v>75</v>
      </c>
      <c r="H49" s="104">
        <f t="shared" si="2"/>
        <v>60.000000000000107</v>
      </c>
      <c r="I49" s="105">
        <f t="shared" si="2"/>
        <v>210.00000000000037</v>
      </c>
      <c r="J49" s="105">
        <f t="shared" si="2"/>
        <v>150.00000000000026</v>
      </c>
      <c r="K49" s="106">
        <f t="shared" si="2"/>
        <v>30.000000000000053</v>
      </c>
      <c r="S49" s="26"/>
    </row>
    <row r="50" spans="1:19" s="13" customFormat="1">
      <c r="A50" s="99">
        <v>6.2499999999999995E-3</v>
      </c>
      <c r="B50" s="100">
        <f t="shared" si="1"/>
        <v>30.000000000000053</v>
      </c>
      <c r="C50" s="101"/>
      <c r="D50" s="102">
        <v>90</v>
      </c>
      <c r="E50" s="103">
        <v>51</v>
      </c>
      <c r="F50" s="103">
        <v>64</v>
      </c>
      <c r="G50" s="103">
        <v>70</v>
      </c>
      <c r="H50" s="104">
        <f t="shared" si="2"/>
        <v>30.000000000000053</v>
      </c>
      <c r="I50" s="105">
        <f t="shared" si="2"/>
        <v>180.00000000000031</v>
      </c>
      <c r="J50" s="105">
        <f t="shared" si="2"/>
        <v>120.00000000000021</v>
      </c>
      <c r="K50" s="106">
        <f t="shared" si="2"/>
        <v>150.00000000000026</v>
      </c>
      <c r="S50" s="26"/>
    </row>
    <row r="51" spans="1:19" s="13" customFormat="1">
      <c r="A51" s="99">
        <v>2.7083333333333334E-2</v>
      </c>
      <c r="B51" s="100">
        <f t="shared" si="1"/>
        <v>30.000000000000004</v>
      </c>
      <c r="C51" s="101"/>
      <c r="D51" s="102">
        <v>100</v>
      </c>
      <c r="E51" s="102">
        <v>77</v>
      </c>
      <c r="F51" s="102">
        <v>85</v>
      </c>
      <c r="G51" s="102">
        <v>64</v>
      </c>
      <c r="H51" s="104">
        <f t="shared" si="2"/>
        <v>300.00000000000006</v>
      </c>
      <c r="I51" s="105">
        <f t="shared" si="2"/>
        <v>780.00000000000011</v>
      </c>
      <c r="J51" s="105">
        <f t="shared" si="2"/>
        <v>630.00000000000011</v>
      </c>
      <c r="K51" s="106">
        <f t="shared" si="2"/>
        <v>180.00000000000003</v>
      </c>
      <c r="S51" s="26"/>
    </row>
    <row r="52" spans="1:19" s="13" customFormat="1">
      <c r="A52" s="99">
        <v>4.7916666666666663E-2</v>
      </c>
      <c r="B52" s="100">
        <f t="shared" si="1"/>
        <v>29.999999999999993</v>
      </c>
      <c r="C52" s="101"/>
      <c r="D52" s="102">
        <v>103</v>
      </c>
      <c r="E52" s="102">
        <v>68</v>
      </c>
      <c r="F52" s="102">
        <v>80</v>
      </c>
      <c r="G52" s="102">
        <v>63</v>
      </c>
      <c r="H52" s="104">
        <f t="shared" si="2"/>
        <v>89.999999999999972</v>
      </c>
      <c r="I52" s="105">
        <f t="shared" si="2"/>
        <v>269.99999999999994</v>
      </c>
      <c r="J52" s="105">
        <f t="shared" si="2"/>
        <v>149.99999999999997</v>
      </c>
      <c r="K52" s="106">
        <f t="shared" si="2"/>
        <v>29.999999999999993</v>
      </c>
      <c r="S52" s="26"/>
    </row>
    <row r="53" spans="1:19" s="13" customFormat="1">
      <c r="A53" s="99">
        <v>6.8749999999999992E-2</v>
      </c>
      <c r="B53" s="100">
        <f t="shared" si="1"/>
        <v>29.999999999999993</v>
      </c>
      <c r="C53" s="101"/>
      <c r="D53" s="102">
        <v>110</v>
      </c>
      <c r="E53" s="102">
        <v>64</v>
      </c>
      <c r="F53" s="102">
        <v>79</v>
      </c>
      <c r="G53" s="102">
        <v>64</v>
      </c>
      <c r="H53" s="104">
        <f t="shared" si="2"/>
        <v>209.99999999999994</v>
      </c>
      <c r="I53" s="105">
        <f t="shared" si="2"/>
        <v>119.99999999999997</v>
      </c>
      <c r="J53" s="105">
        <f t="shared" si="2"/>
        <v>29.999999999999993</v>
      </c>
      <c r="K53" s="106">
        <f t="shared" si="2"/>
        <v>29.999999999999993</v>
      </c>
      <c r="S53" s="26"/>
    </row>
    <row r="54" spans="1:19" s="13" customFormat="1">
      <c r="A54" s="99">
        <v>8.9583333333333334E-2</v>
      </c>
      <c r="B54" s="100">
        <f t="shared" si="1"/>
        <v>30.000000000000014</v>
      </c>
      <c r="C54" s="101"/>
      <c r="D54" s="102">
        <v>102</v>
      </c>
      <c r="E54" s="102">
        <v>66</v>
      </c>
      <c r="F54" s="102">
        <v>78</v>
      </c>
      <c r="G54" s="102">
        <v>63</v>
      </c>
      <c r="H54" s="104">
        <f t="shared" si="2"/>
        <v>240.00000000000011</v>
      </c>
      <c r="I54" s="105">
        <f t="shared" si="2"/>
        <v>60.000000000000028</v>
      </c>
      <c r="J54" s="105">
        <f t="shared" si="2"/>
        <v>30.000000000000014</v>
      </c>
      <c r="K54" s="106">
        <f t="shared" si="2"/>
        <v>30.000000000000014</v>
      </c>
      <c r="S54" s="26"/>
    </row>
    <row r="55" spans="1:19" s="13" customFormat="1">
      <c r="A55" s="99">
        <v>0.11041666666666666</v>
      </c>
      <c r="B55" s="100">
        <f t="shared" si="1"/>
        <v>29.999999999999993</v>
      </c>
      <c r="C55" s="101"/>
      <c r="D55" s="102">
        <v>96</v>
      </c>
      <c r="E55" s="102">
        <v>58</v>
      </c>
      <c r="F55" s="102">
        <v>71</v>
      </c>
      <c r="G55" s="102">
        <v>67</v>
      </c>
      <c r="H55" s="104">
        <f t="shared" si="2"/>
        <v>179.99999999999994</v>
      </c>
      <c r="I55" s="105">
        <f t="shared" si="2"/>
        <v>239.99999999999994</v>
      </c>
      <c r="J55" s="105">
        <f t="shared" si="2"/>
        <v>209.99999999999994</v>
      </c>
      <c r="K55" s="106">
        <f t="shared" si="2"/>
        <v>119.99999999999997</v>
      </c>
      <c r="S55" s="26"/>
    </row>
    <row r="56" spans="1:19" s="13" customFormat="1">
      <c r="A56" s="99">
        <v>0.13125000000000001</v>
      </c>
      <c r="B56" s="100">
        <f t="shared" si="1"/>
        <v>30.000000000000014</v>
      </c>
      <c r="C56" s="101"/>
      <c r="D56" s="102">
        <v>87</v>
      </c>
      <c r="E56" s="102">
        <v>54</v>
      </c>
      <c r="F56" s="102">
        <v>65</v>
      </c>
      <c r="G56" s="102">
        <v>65</v>
      </c>
      <c r="H56" s="104">
        <f t="shared" si="2"/>
        <v>270.00000000000011</v>
      </c>
      <c r="I56" s="105">
        <f t="shared" si="2"/>
        <v>120.00000000000006</v>
      </c>
      <c r="J56" s="105">
        <f t="shared" si="2"/>
        <v>180.00000000000009</v>
      </c>
      <c r="K56" s="106">
        <f t="shared" si="2"/>
        <v>60.000000000000028</v>
      </c>
      <c r="S56" s="26"/>
    </row>
    <row r="57" spans="1:19" s="13" customFormat="1">
      <c r="A57" s="99">
        <v>0.15208333333333332</v>
      </c>
      <c r="B57" s="100">
        <f t="shared" si="1"/>
        <v>29.999999999999972</v>
      </c>
      <c r="C57" s="101"/>
      <c r="D57" s="102">
        <v>94</v>
      </c>
      <c r="E57" s="102">
        <v>58</v>
      </c>
      <c r="F57" s="102">
        <v>70</v>
      </c>
      <c r="G57" s="102">
        <v>64</v>
      </c>
      <c r="H57" s="104">
        <f t="shared" si="2"/>
        <v>209.9999999999998</v>
      </c>
      <c r="I57" s="105">
        <f t="shared" si="2"/>
        <v>119.99999999999989</v>
      </c>
      <c r="J57" s="105">
        <f t="shared" si="2"/>
        <v>149.99999999999986</v>
      </c>
      <c r="K57" s="106">
        <f t="shared" si="2"/>
        <v>29.999999999999972</v>
      </c>
      <c r="S57" s="26"/>
    </row>
    <row r="58" spans="1:19" s="13" customFormat="1">
      <c r="A58" s="99">
        <v>0.17291666666666669</v>
      </c>
      <c r="B58" s="100">
        <f t="shared" si="1"/>
        <v>30.000000000000053</v>
      </c>
      <c r="C58" s="101"/>
      <c r="D58" s="102">
        <v>109</v>
      </c>
      <c r="E58" s="102">
        <v>66</v>
      </c>
      <c r="F58" s="102">
        <v>80</v>
      </c>
      <c r="G58" s="102">
        <v>61</v>
      </c>
      <c r="H58" s="104">
        <f t="shared" si="2"/>
        <v>450.0000000000008</v>
      </c>
      <c r="I58" s="105">
        <f t="shared" si="2"/>
        <v>240.00000000000043</v>
      </c>
      <c r="J58" s="105">
        <f t="shared" si="2"/>
        <v>300.00000000000051</v>
      </c>
      <c r="K58" s="106">
        <f t="shared" si="2"/>
        <v>90.000000000000156</v>
      </c>
      <c r="S58" s="26"/>
    </row>
    <row r="59" spans="1:19" s="13" customFormat="1">
      <c r="A59" s="99">
        <v>0.19375000000000001</v>
      </c>
      <c r="B59" s="100">
        <f t="shared" si="1"/>
        <v>29.999999999999972</v>
      </c>
      <c r="C59" s="101"/>
      <c r="D59" s="102">
        <v>113</v>
      </c>
      <c r="E59" s="102">
        <v>68</v>
      </c>
      <c r="F59" s="102">
        <v>83</v>
      </c>
      <c r="G59" s="102">
        <v>65</v>
      </c>
      <c r="H59" s="104">
        <f t="shared" si="2"/>
        <v>119.99999999999989</v>
      </c>
      <c r="I59" s="105">
        <f t="shared" si="2"/>
        <v>59.999999999999943</v>
      </c>
      <c r="J59" s="105">
        <f t="shared" si="2"/>
        <v>89.999999999999915</v>
      </c>
      <c r="K59" s="106">
        <f t="shared" si="2"/>
        <v>119.99999999999989</v>
      </c>
      <c r="S59" s="26"/>
    </row>
    <row r="60" spans="1:19" s="13" customFormat="1">
      <c r="A60" s="99">
        <v>0.21458333333333335</v>
      </c>
      <c r="B60" s="100">
        <f t="shared" si="1"/>
        <v>30.000000000000014</v>
      </c>
      <c r="C60" s="101"/>
      <c r="D60" s="102">
        <v>108</v>
      </c>
      <c r="E60" s="102">
        <v>70</v>
      </c>
      <c r="F60" s="102">
        <v>83</v>
      </c>
      <c r="G60" s="102">
        <v>59</v>
      </c>
      <c r="H60" s="104">
        <f t="shared" si="2"/>
        <v>150.00000000000006</v>
      </c>
      <c r="I60" s="105">
        <f t="shared" si="2"/>
        <v>60.000000000000028</v>
      </c>
      <c r="J60" s="105">
        <f t="shared" si="2"/>
        <v>0</v>
      </c>
      <c r="K60" s="106">
        <f t="shared" si="2"/>
        <v>180.00000000000009</v>
      </c>
      <c r="S60" s="26"/>
    </row>
    <row r="61" spans="1:19" s="13" customFormat="1">
      <c r="A61" s="99">
        <v>0.23541666666666669</v>
      </c>
      <c r="B61" s="100">
        <f t="shared" si="1"/>
        <v>30.000000000000014</v>
      </c>
      <c r="C61" s="101"/>
      <c r="D61" s="102">
        <v>94</v>
      </c>
      <c r="E61" s="102">
        <v>64</v>
      </c>
      <c r="F61" s="102">
        <v>74</v>
      </c>
      <c r="G61" s="102">
        <v>62</v>
      </c>
      <c r="H61" s="104">
        <f t="shared" si="2"/>
        <v>420.00000000000023</v>
      </c>
      <c r="I61" s="105">
        <f t="shared" si="2"/>
        <v>180.00000000000009</v>
      </c>
      <c r="J61" s="105">
        <f t="shared" si="2"/>
        <v>270.00000000000011</v>
      </c>
      <c r="K61" s="106">
        <f t="shared" si="2"/>
        <v>90.000000000000043</v>
      </c>
      <c r="S61" s="26"/>
    </row>
    <row r="62" spans="1:19" s="13" customFormat="1">
      <c r="A62" s="99">
        <v>0.25625000000000003</v>
      </c>
      <c r="B62" s="100">
        <f t="shared" si="1"/>
        <v>30.000000000000014</v>
      </c>
      <c r="C62" s="101"/>
      <c r="D62" s="102">
        <v>94</v>
      </c>
      <c r="E62" s="102">
        <v>66</v>
      </c>
      <c r="F62" s="102">
        <v>75</v>
      </c>
      <c r="G62" s="102">
        <v>59</v>
      </c>
      <c r="H62" s="104">
        <f t="shared" si="2"/>
        <v>0</v>
      </c>
      <c r="I62" s="105">
        <f t="shared" si="2"/>
        <v>60.000000000000028</v>
      </c>
      <c r="J62" s="105">
        <f t="shared" si="2"/>
        <v>30.000000000000014</v>
      </c>
      <c r="K62" s="106">
        <f t="shared" si="2"/>
        <v>90.000000000000043</v>
      </c>
      <c r="S62" s="26"/>
    </row>
    <row r="63" spans="1:19" s="13" customFormat="1">
      <c r="A63" s="99">
        <v>0.27708333333333335</v>
      </c>
      <c r="B63" s="100">
        <f t="shared" si="1"/>
        <v>29.999999999999972</v>
      </c>
      <c r="C63" s="101"/>
      <c r="D63" s="102">
        <v>93</v>
      </c>
      <c r="E63" s="102">
        <v>59</v>
      </c>
      <c r="F63" s="102">
        <v>70</v>
      </c>
      <c r="G63" s="102">
        <v>63</v>
      </c>
      <c r="H63" s="104">
        <f t="shared" si="2"/>
        <v>29.999999999999972</v>
      </c>
      <c r="I63" s="105">
        <f t="shared" si="2"/>
        <v>209.9999999999998</v>
      </c>
      <c r="J63" s="105">
        <f t="shared" si="2"/>
        <v>149.99999999999986</v>
      </c>
      <c r="K63" s="106">
        <f t="shared" si="2"/>
        <v>119.99999999999989</v>
      </c>
      <c r="S63" s="26"/>
    </row>
    <row r="64" spans="1:19" s="13" customFormat="1">
      <c r="A64" s="107">
        <v>0.29791666666666666</v>
      </c>
      <c r="B64" s="100">
        <f t="shared" si="1"/>
        <v>29.999999999999972</v>
      </c>
      <c r="C64" s="101"/>
      <c r="D64" s="108">
        <v>104</v>
      </c>
      <c r="E64" s="109">
        <v>63</v>
      </c>
      <c r="F64" s="109">
        <v>77</v>
      </c>
      <c r="G64" s="110">
        <v>60</v>
      </c>
      <c r="H64" s="104">
        <f t="shared" si="2"/>
        <v>329.99999999999966</v>
      </c>
      <c r="I64" s="105">
        <f t="shared" si="2"/>
        <v>119.99999999999989</v>
      </c>
      <c r="J64" s="105">
        <f t="shared" si="2"/>
        <v>209.9999999999998</v>
      </c>
      <c r="K64" s="106">
        <f t="shared" si="2"/>
        <v>89.999999999999915</v>
      </c>
      <c r="S64" s="26"/>
    </row>
    <row r="65" spans="1:27" s="13" customFormat="1">
      <c r="A65" s="107">
        <v>0.30833333333333335</v>
      </c>
      <c r="B65" s="100">
        <f t="shared" si="1"/>
        <v>15.000000000000027</v>
      </c>
      <c r="C65" s="101"/>
      <c r="D65" s="108">
        <v>99</v>
      </c>
      <c r="E65" s="109">
        <v>59</v>
      </c>
      <c r="F65" s="109">
        <v>72</v>
      </c>
      <c r="G65" s="110">
        <v>61</v>
      </c>
      <c r="H65" s="104">
        <f t="shared" si="2"/>
        <v>75.000000000000128</v>
      </c>
      <c r="I65" s="105">
        <f t="shared" si="2"/>
        <v>60.000000000000107</v>
      </c>
      <c r="J65" s="105">
        <f t="shared" si="2"/>
        <v>75.000000000000128</v>
      </c>
      <c r="K65" s="106">
        <f t="shared" si="2"/>
        <v>15.000000000000027</v>
      </c>
      <c r="S65" s="26"/>
    </row>
    <row r="66" spans="1:27" s="13" customFormat="1">
      <c r="A66" s="2">
        <v>0.31875000000000003</v>
      </c>
      <c r="B66" s="7">
        <f t="shared" si="1"/>
        <v>15.000000000000027</v>
      </c>
      <c r="C66" s="17"/>
      <c r="D66" s="4">
        <v>124</v>
      </c>
      <c r="E66" s="1">
        <v>80</v>
      </c>
      <c r="F66" s="1">
        <v>95</v>
      </c>
      <c r="G66" s="3">
        <v>79</v>
      </c>
      <c r="H66" s="31">
        <f t="shared" si="2"/>
        <v>375.00000000000068</v>
      </c>
      <c r="I66" s="32">
        <f t="shared" si="2"/>
        <v>315.00000000000057</v>
      </c>
      <c r="J66" s="32">
        <f t="shared" si="2"/>
        <v>345.00000000000063</v>
      </c>
      <c r="K66" s="30">
        <f t="shared" si="2"/>
        <v>270.00000000000045</v>
      </c>
      <c r="S66" s="26"/>
    </row>
    <row r="67" spans="1:27" s="13" customFormat="1">
      <c r="A67" s="2">
        <v>0.33958333333333335</v>
      </c>
      <c r="B67" s="7">
        <f t="shared" si="1"/>
        <v>29.999999999999972</v>
      </c>
      <c r="C67" s="17"/>
      <c r="D67" s="4">
        <v>99</v>
      </c>
      <c r="E67" s="1">
        <v>64</v>
      </c>
      <c r="F67" s="1">
        <v>76</v>
      </c>
      <c r="G67" s="3">
        <v>86</v>
      </c>
      <c r="H67" s="31">
        <f t="shared" si="2"/>
        <v>749.99999999999932</v>
      </c>
      <c r="I67" s="32">
        <f t="shared" si="2"/>
        <v>479.99999999999955</v>
      </c>
      <c r="J67" s="32">
        <f t="shared" si="2"/>
        <v>569.99999999999943</v>
      </c>
      <c r="K67" s="30">
        <f t="shared" si="2"/>
        <v>209.9999999999998</v>
      </c>
      <c r="S67" s="26"/>
    </row>
    <row r="68" spans="1:27" s="13" customFormat="1">
      <c r="A68" s="2">
        <v>0.35000000000000003</v>
      </c>
      <c r="B68" s="7">
        <f t="shared" si="1"/>
        <v>15.000000000000027</v>
      </c>
      <c r="C68" s="17"/>
      <c r="D68" s="4">
        <v>102</v>
      </c>
      <c r="E68" s="1">
        <v>68</v>
      </c>
      <c r="F68" s="1">
        <v>79</v>
      </c>
      <c r="G68" s="3">
        <v>135</v>
      </c>
      <c r="H68" s="31">
        <f t="shared" si="2"/>
        <v>45.000000000000078</v>
      </c>
      <c r="I68" s="32">
        <f t="shared" si="2"/>
        <v>60.000000000000107</v>
      </c>
      <c r="J68" s="32">
        <f t="shared" si="2"/>
        <v>45.000000000000078</v>
      </c>
      <c r="K68" s="30">
        <f t="shared" si="2"/>
        <v>735.00000000000125</v>
      </c>
      <c r="S68" s="26"/>
    </row>
    <row r="69" spans="1:27" s="13" customFormat="1">
      <c r="A69" s="2"/>
      <c r="B69" s="7" t="str">
        <f t="shared" ref="B69:B120" si="5">IF(A69&gt;0,IF(24*60*(A69-A68 + ((A69-A68)&lt;0))&gt;0,24*60*(A69-A68 + ((A69-A68)&lt;0)),""),"")</f>
        <v/>
      </c>
      <c r="C69" s="17"/>
      <c r="D69" s="4"/>
      <c r="E69" s="1"/>
      <c r="F69" s="1"/>
      <c r="G69" s="3"/>
      <c r="H69" s="31" t="str">
        <f t="shared" ref="H69:K120" si="6">IF($B69="","",(SQRT((D69-D68)*(D69-D68))*$B69))</f>
        <v/>
      </c>
      <c r="I69" s="32" t="str">
        <f t="shared" si="6"/>
        <v/>
      </c>
      <c r="J69" s="32" t="str">
        <f t="shared" si="6"/>
        <v/>
      </c>
      <c r="K69" s="30" t="str">
        <f t="shared" si="6"/>
        <v/>
      </c>
      <c r="S69" s="26"/>
    </row>
    <row r="70" spans="1:27" s="13" customFormat="1">
      <c r="A70" s="2"/>
      <c r="B70" s="7" t="str">
        <f t="shared" si="5"/>
        <v/>
      </c>
      <c r="C70" s="17"/>
      <c r="D70" s="4"/>
      <c r="E70" s="1"/>
      <c r="F70" s="1"/>
      <c r="G70" s="3"/>
      <c r="H70" s="31" t="str">
        <f t="shared" si="6"/>
        <v/>
      </c>
      <c r="I70" s="32" t="str">
        <f t="shared" si="6"/>
        <v/>
      </c>
      <c r="J70" s="32" t="str">
        <f t="shared" si="6"/>
        <v/>
      </c>
      <c r="K70" s="30" t="str">
        <f t="shared" si="6"/>
        <v/>
      </c>
      <c r="S70" s="26"/>
    </row>
    <row r="71" spans="1:27" s="13" customFormat="1">
      <c r="A71" s="2"/>
      <c r="B71" s="7" t="str">
        <f t="shared" si="5"/>
        <v/>
      </c>
      <c r="C71" s="17"/>
      <c r="D71" s="4"/>
      <c r="E71" s="1"/>
      <c r="F71" s="1"/>
      <c r="G71" s="3"/>
      <c r="H71" s="31" t="str">
        <f t="shared" si="6"/>
        <v/>
      </c>
      <c r="I71" s="32" t="str">
        <f t="shared" si="6"/>
        <v/>
      </c>
      <c r="J71" s="32" t="str">
        <f t="shared" si="6"/>
        <v/>
      </c>
      <c r="K71" s="30" t="str">
        <f t="shared" si="6"/>
        <v/>
      </c>
      <c r="S71" s="26"/>
    </row>
    <row r="72" spans="1:27" s="13" customFormat="1">
      <c r="A72" s="2"/>
      <c r="B72" s="7" t="str">
        <f t="shared" si="5"/>
        <v/>
      </c>
      <c r="C72" s="17"/>
      <c r="D72" s="4"/>
      <c r="E72" s="1"/>
      <c r="F72" s="1"/>
      <c r="G72" s="3"/>
      <c r="H72" s="31" t="str">
        <f t="shared" si="6"/>
        <v/>
      </c>
      <c r="I72" s="32" t="str">
        <f t="shared" si="6"/>
        <v/>
      </c>
      <c r="J72" s="32" t="str">
        <f t="shared" si="6"/>
        <v/>
      </c>
      <c r="K72" s="30" t="str">
        <f t="shared" si="6"/>
        <v/>
      </c>
      <c r="S72" s="26"/>
    </row>
    <row r="73" spans="1:27" s="13" customFormat="1">
      <c r="A73" s="2"/>
      <c r="B73" s="7" t="str">
        <f t="shared" si="5"/>
        <v/>
      </c>
      <c r="C73" s="17"/>
      <c r="D73" s="4"/>
      <c r="E73" s="1"/>
      <c r="F73" s="1"/>
      <c r="G73" s="3"/>
      <c r="H73" s="31" t="str">
        <f t="shared" si="6"/>
        <v/>
      </c>
      <c r="I73" s="32" t="str">
        <f t="shared" si="6"/>
        <v/>
      </c>
      <c r="J73" s="32" t="str">
        <f t="shared" si="6"/>
        <v/>
      </c>
      <c r="K73" s="30" t="str">
        <f t="shared" si="6"/>
        <v/>
      </c>
      <c r="S73" s="26"/>
    </row>
    <row r="74" spans="1:27" s="13" customFormat="1">
      <c r="A74" s="2"/>
      <c r="B74" s="7" t="str">
        <f t="shared" si="5"/>
        <v/>
      </c>
      <c r="C74" s="17"/>
      <c r="D74" s="4"/>
      <c r="E74" s="1"/>
      <c r="F74" s="1"/>
      <c r="G74" s="3"/>
      <c r="H74" s="31" t="str">
        <f t="shared" si="6"/>
        <v/>
      </c>
      <c r="I74" s="32" t="str">
        <f t="shared" si="6"/>
        <v/>
      </c>
      <c r="J74" s="32" t="str">
        <f t="shared" si="6"/>
        <v/>
      </c>
      <c r="K74" s="30" t="str">
        <f t="shared" si="6"/>
        <v/>
      </c>
      <c r="S74" s="26"/>
    </row>
    <row r="75" spans="1:27" s="13" customFormat="1">
      <c r="A75" s="2"/>
      <c r="B75" s="7" t="str">
        <f t="shared" si="5"/>
        <v/>
      </c>
      <c r="C75" s="17"/>
      <c r="D75" s="4"/>
      <c r="E75" s="1"/>
      <c r="F75" s="1"/>
      <c r="G75" s="3"/>
      <c r="H75" s="31" t="str">
        <f t="shared" si="6"/>
        <v/>
      </c>
      <c r="I75" s="32" t="str">
        <f t="shared" si="6"/>
        <v/>
      </c>
      <c r="J75" s="32" t="str">
        <f t="shared" si="6"/>
        <v/>
      </c>
      <c r="K75" s="30" t="str">
        <f t="shared" si="6"/>
        <v/>
      </c>
      <c r="S75" s="26"/>
    </row>
    <row r="76" spans="1:27" s="13" customFormat="1">
      <c r="A76" s="2"/>
      <c r="B76" s="7" t="str">
        <f t="shared" si="5"/>
        <v/>
      </c>
      <c r="C76" s="17"/>
      <c r="D76" s="4"/>
      <c r="E76" s="1"/>
      <c r="F76" s="1"/>
      <c r="G76" s="3"/>
      <c r="H76" s="31" t="str">
        <f t="shared" si="6"/>
        <v/>
      </c>
      <c r="I76" s="32" t="str">
        <f t="shared" si="6"/>
        <v/>
      </c>
      <c r="J76" s="32" t="str">
        <f t="shared" si="6"/>
        <v/>
      </c>
      <c r="K76" s="30" t="str">
        <f t="shared" si="6"/>
        <v/>
      </c>
      <c r="S76" s="26"/>
    </row>
    <row r="77" spans="1:27" s="13" customFormat="1">
      <c r="A77" s="2"/>
      <c r="B77" s="7" t="str">
        <f t="shared" si="5"/>
        <v/>
      </c>
      <c r="C77" s="17"/>
      <c r="D77" s="4"/>
      <c r="E77" s="1"/>
      <c r="F77" s="1"/>
      <c r="G77" s="3"/>
      <c r="H77" s="31" t="str">
        <f t="shared" si="6"/>
        <v/>
      </c>
      <c r="I77" s="32" t="str">
        <f t="shared" si="6"/>
        <v/>
      </c>
      <c r="J77" s="32" t="str">
        <f t="shared" si="6"/>
        <v/>
      </c>
      <c r="K77" s="30" t="str">
        <f t="shared" si="6"/>
        <v/>
      </c>
      <c r="S77" s="26"/>
    </row>
    <row r="78" spans="1:27" s="13" customFormat="1">
      <c r="A78" s="4"/>
      <c r="B78" s="7" t="str">
        <f t="shared" si="5"/>
        <v/>
      </c>
      <c r="C78" s="17"/>
      <c r="D78" s="1"/>
      <c r="E78" s="1"/>
      <c r="F78" s="1"/>
      <c r="G78" s="1"/>
      <c r="H78" s="31" t="str">
        <f t="shared" si="6"/>
        <v/>
      </c>
      <c r="I78" s="32" t="str">
        <f t="shared" si="6"/>
        <v/>
      </c>
      <c r="J78" s="32" t="str">
        <f t="shared" si="6"/>
        <v/>
      </c>
      <c r="K78" s="30" t="str">
        <f t="shared" si="6"/>
        <v/>
      </c>
      <c r="S78" s="26"/>
    </row>
    <row r="79" spans="1:27" s="13" customFormat="1">
      <c r="A79" s="4"/>
      <c r="B79" s="7" t="str">
        <f t="shared" si="5"/>
        <v/>
      </c>
      <c r="C79" s="17"/>
      <c r="D79" s="1"/>
      <c r="E79" s="1"/>
      <c r="F79" s="1"/>
      <c r="G79" s="1"/>
      <c r="H79" s="31" t="str">
        <f t="shared" si="6"/>
        <v/>
      </c>
      <c r="I79" s="32" t="str">
        <f t="shared" si="6"/>
        <v/>
      </c>
      <c r="J79" s="32" t="str">
        <f t="shared" si="6"/>
        <v/>
      </c>
      <c r="K79" s="30" t="str">
        <f t="shared" si="6"/>
        <v/>
      </c>
      <c r="S79" s="26"/>
      <c r="T79"/>
      <c r="U79"/>
      <c r="V79"/>
      <c r="W79"/>
      <c r="X79" s="17"/>
      <c r="Y79" s="17"/>
      <c r="Z79" s="17"/>
      <c r="AA79" s="17"/>
    </row>
    <row r="80" spans="1:27" s="13" customFormat="1">
      <c r="A80" s="4"/>
      <c r="B80" s="7" t="str">
        <f t="shared" si="5"/>
        <v/>
      </c>
      <c r="C80" s="17"/>
      <c r="D80" s="1"/>
      <c r="E80" s="1"/>
      <c r="F80" s="1"/>
      <c r="G80" s="1"/>
      <c r="H80" s="31" t="str">
        <f t="shared" si="6"/>
        <v/>
      </c>
      <c r="I80" s="32" t="str">
        <f t="shared" si="6"/>
        <v/>
      </c>
      <c r="J80" s="32" t="str">
        <f t="shared" si="6"/>
        <v/>
      </c>
      <c r="K80" s="30" t="str">
        <f t="shared" si="6"/>
        <v/>
      </c>
      <c r="S80" s="26"/>
      <c r="T80"/>
      <c r="U80"/>
      <c r="V80"/>
      <c r="W80"/>
      <c r="X80" s="17"/>
      <c r="Y80" s="17"/>
      <c r="Z80" s="17"/>
      <c r="AA80" s="17"/>
    </row>
    <row r="81" spans="1:23" s="17" customFormat="1">
      <c r="A81" s="4"/>
      <c r="B81" s="7" t="str">
        <f t="shared" si="5"/>
        <v/>
      </c>
      <c r="D81" s="1"/>
      <c r="E81" s="1"/>
      <c r="F81" s="1"/>
      <c r="G81" s="1"/>
      <c r="H81" s="31" t="str">
        <f t="shared" si="6"/>
        <v/>
      </c>
      <c r="I81" s="32" t="str">
        <f t="shared" si="6"/>
        <v/>
      </c>
      <c r="J81" s="32" t="str">
        <f t="shared" si="6"/>
        <v/>
      </c>
      <c r="K81" s="30" t="str">
        <f t="shared" si="6"/>
        <v/>
      </c>
      <c r="L81" s="13"/>
      <c r="M81" s="13"/>
      <c r="N81" s="13"/>
      <c r="O81" s="13"/>
      <c r="P81" s="13"/>
      <c r="Q81" s="13"/>
      <c r="R81" s="13"/>
      <c r="S81" s="26"/>
      <c r="T81"/>
      <c r="U81"/>
      <c r="V81"/>
      <c r="W81"/>
    </row>
    <row r="82" spans="1:23" s="17" customFormat="1">
      <c r="A82" s="4"/>
      <c r="B82" s="7" t="str">
        <f t="shared" si="5"/>
        <v/>
      </c>
      <c r="D82" s="1"/>
      <c r="E82" s="1"/>
      <c r="F82" s="1"/>
      <c r="G82" s="1"/>
      <c r="H82" s="31" t="str">
        <f t="shared" si="6"/>
        <v/>
      </c>
      <c r="I82" s="32" t="str">
        <f t="shared" si="6"/>
        <v/>
      </c>
      <c r="J82" s="32" t="str">
        <f t="shared" si="6"/>
        <v/>
      </c>
      <c r="K82" s="30" t="str">
        <f t="shared" si="6"/>
        <v/>
      </c>
      <c r="L82" s="13"/>
      <c r="M82" s="13"/>
      <c r="N82" s="13"/>
      <c r="O82" s="13"/>
      <c r="P82" s="13"/>
      <c r="Q82" s="13"/>
      <c r="R82" s="13"/>
      <c r="S82" s="26"/>
      <c r="T82"/>
      <c r="U82"/>
      <c r="V82"/>
      <c r="W82"/>
    </row>
    <row r="83" spans="1:23" s="17" customFormat="1">
      <c r="A83" s="4"/>
      <c r="B83" s="7" t="str">
        <f t="shared" si="5"/>
        <v/>
      </c>
      <c r="D83" s="1"/>
      <c r="E83" s="1"/>
      <c r="F83" s="1"/>
      <c r="G83" s="1"/>
      <c r="H83" s="31" t="str">
        <f t="shared" si="6"/>
        <v/>
      </c>
      <c r="I83" s="32" t="str">
        <f t="shared" si="6"/>
        <v/>
      </c>
      <c r="J83" s="32" t="str">
        <f t="shared" si="6"/>
        <v/>
      </c>
      <c r="K83" s="30" t="str">
        <f t="shared" si="6"/>
        <v/>
      </c>
      <c r="L83" s="13"/>
      <c r="M83" s="13"/>
      <c r="N83" s="13"/>
      <c r="O83" s="13"/>
      <c r="P83" s="13"/>
      <c r="Q83" s="13"/>
      <c r="R83" s="13"/>
      <c r="S83" s="26"/>
      <c r="T83"/>
      <c r="U83"/>
      <c r="V83"/>
      <c r="W83"/>
    </row>
    <row r="84" spans="1:23" s="17" customFormat="1">
      <c r="A84" s="4"/>
      <c r="B84" s="7" t="str">
        <f t="shared" si="5"/>
        <v/>
      </c>
      <c r="D84" s="1"/>
      <c r="E84" s="1"/>
      <c r="F84" s="1"/>
      <c r="G84" s="1"/>
      <c r="H84" s="31" t="str">
        <f t="shared" si="6"/>
        <v/>
      </c>
      <c r="I84" s="32" t="str">
        <f t="shared" si="6"/>
        <v/>
      </c>
      <c r="J84" s="32" t="str">
        <f t="shared" si="6"/>
        <v/>
      </c>
      <c r="K84" s="30" t="str">
        <f t="shared" si="6"/>
        <v/>
      </c>
      <c r="L84" s="13"/>
      <c r="M84" s="13"/>
      <c r="N84" s="13"/>
      <c r="O84" s="13"/>
      <c r="P84" s="13"/>
      <c r="Q84" s="13"/>
      <c r="R84" s="13"/>
      <c r="S84" s="26"/>
      <c r="T84"/>
      <c r="U84"/>
      <c r="V84"/>
      <c r="W84"/>
    </row>
    <row r="85" spans="1:23" s="17" customFormat="1">
      <c r="A85" s="4"/>
      <c r="B85" s="7" t="str">
        <f t="shared" si="5"/>
        <v/>
      </c>
      <c r="D85" s="1"/>
      <c r="E85" s="1"/>
      <c r="F85" s="1"/>
      <c r="G85" s="1"/>
      <c r="H85" s="31" t="str">
        <f t="shared" si="6"/>
        <v/>
      </c>
      <c r="I85" s="32" t="str">
        <f t="shared" si="6"/>
        <v/>
      </c>
      <c r="J85" s="32" t="str">
        <f t="shared" si="6"/>
        <v/>
      </c>
      <c r="K85" s="30" t="str">
        <f t="shared" si="6"/>
        <v/>
      </c>
      <c r="L85" s="13"/>
      <c r="M85" s="13"/>
      <c r="N85" s="13"/>
      <c r="O85" s="13"/>
      <c r="P85" s="13"/>
      <c r="Q85" s="13"/>
      <c r="R85" s="13"/>
      <c r="S85" s="26"/>
      <c r="T85"/>
      <c r="U85"/>
      <c r="V85"/>
      <c r="W85"/>
    </row>
    <row r="86" spans="1:23" s="17" customFormat="1">
      <c r="A86" s="4"/>
      <c r="B86" s="7" t="str">
        <f t="shared" si="5"/>
        <v/>
      </c>
      <c r="D86" s="1"/>
      <c r="E86" s="1"/>
      <c r="F86" s="1"/>
      <c r="G86" s="1"/>
      <c r="H86" s="31" t="str">
        <f t="shared" si="6"/>
        <v/>
      </c>
      <c r="I86" s="32" t="str">
        <f t="shared" si="6"/>
        <v/>
      </c>
      <c r="J86" s="32" t="str">
        <f t="shared" si="6"/>
        <v/>
      </c>
      <c r="K86" s="30" t="str">
        <f t="shared" si="6"/>
        <v/>
      </c>
      <c r="L86" s="13"/>
      <c r="M86" s="13"/>
      <c r="N86" s="13"/>
      <c r="O86" s="13"/>
      <c r="P86" s="13"/>
      <c r="Q86" s="13"/>
      <c r="R86" s="13"/>
      <c r="S86" s="26"/>
      <c r="T86"/>
      <c r="U86"/>
      <c r="V86"/>
      <c r="W86"/>
    </row>
    <row r="87" spans="1:23" s="17" customFormat="1">
      <c r="A87" s="4"/>
      <c r="B87" s="7" t="str">
        <f t="shared" si="5"/>
        <v/>
      </c>
      <c r="D87" s="1"/>
      <c r="E87" s="1"/>
      <c r="F87" s="1"/>
      <c r="G87" s="1"/>
      <c r="H87" s="31" t="str">
        <f t="shared" si="6"/>
        <v/>
      </c>
      <c r="I87" s="32" t="str">
        <f t="shared" si="6"/>
        <v/>
      </c>
      <c r="J87" s="32" t="str">
        <f t="shared" si="6"/>
        <v/>
      </c>
      <c r="K87" s="30" t="str">
        <f t="shared" si="6"/>
        <v/>
      </c>
      <c r="L87" s="13"/>
      <c r="M87" s="13"/>
      <c r="N87" s="13"/>
      <c r="O87" s="13"/>
      <c r="P87" s="13"/>
      <c r="Q87" s="13"/>
      <c r="R87" s="13"/>
      <c r="S87" s="26"/>
      <c r="T87"/>
      <c r="U87"/>
      <c r="V87"/>
      <c r="W87"/>
    </row>
    <row r="88" spans="1:23" s="17" customFormat="1">
      <c r="A88" s="4"/>
      <c r="B88" s="7" t="str">
        <f t="shared" si="5"/>
        <v/>
      </c>
      <c r="D88" s="1"/>
      <c r="E88" s="1"/>
      <c r="F88" s="1"/>
      <c r="G88" s="1"/>
      <c r="H88" s="31" t="str">
        <f t="shared" si="6"/>
        <v/>
      </c>
      <c r="I88" s="32" t="str">
        <f t="shared" si="6"/>
        <v/>
      </c>
      <c r="J88" s="32" t="str">
        <f t="shared" si="6"/>
        <v/>
      </c>
      <c r="K88" s="30" t="str">
        <f t="shared" si="6"/>
        <v/>
      </c>
      <c r="L88" s="13"/>
      <c r="M88" s="13"/>
      <c r="N88" s="13"/>
      <c r="O88" s="13"/>
      <c r="P88" s="13"/>
      <c r="Q88" s="13"/>
      <c r="R88" s="13"/>
      <c r="S88" s="26"/>
      <c r="T88"/>
      <c r="U88"/>
      <c r="V88"/>
      <c r="W88"/>
    </row>
    <row r="89" spans="1:23" s="17" customFormat="1">
      <c r="A89" s="4"/>
      <c r="B89" s="7" t="str">
        <f t="shared" si="5"/>
        <v/>
      </c>
      <c r="D89" s="1"/>
      <c r="E89" s="1"/>
      <c r="F89" s="1"/>
      <c r="G89" s="1"/>
      <c r="H89" s="31" t="str">
        <f t="shared" si="6"/>
        <v/>
      </c>
      <c r="I89" s="32" t="str">
        <f t="shared" si="6"/>
        <v/>
      </c>
      <c r="J89" s="32" t="str">
        <f t="shared" si="6"/>
        <v/>
      </c>
      <c r="K89" s="30" t="str">
        <f t="shared" si="6"/>
        <v/>
      </c>
      <c r="L89" s="13"/>
      <c r="M89" s="13"/>
      <c r="N89" s="13"/>
      <c r="O89" s="13"/>
      <c r="P89" s="13"/>
      <c r="Q89" s="13"/>
      <c r="R89" s="13"/>
      <c r="S89" s="26"/>
      <c r="T89"/>
      <c r="U89"/>
      <c r="V89"/>
      <c r="W89"/>
    </row>
    <row r="90" spans="1:23" s="17" customFormat="1">
      <c r="A90" s="4"/>
      <c r="B90" s="7" t="str">
        <f t="shared" si="5"/>
        <v/>
      </c>
      <c r="D90" s="1"/>
      <c r="E90" s="1"/>
      <c r="F90" s="1"/>
      <c r="G90" s="1"/>
      <c r="H90" s="31" t="str">
        <f t="shared" si="6"/>
        <v/>
      </c>
      <c r="I90" s="32" t="str">
        <f t="shared" si="6"/>
        <v/>
      </c>
      <c r="J90" s="32" t="str">
        <f t="shared" si="6"/>
        <v/>
      </c>
      <c r="K90" s="30" t="str">
        <f t="shared" si="6"/>
        <v/>
      </c>
      <c r="L90" s="13"/>
      <c r="M90" s="13"/>
      <c r="N90" s="13"/>
      <c r="O90" s="13"/>
      <c r="P90" s="13"/>
      <c r="Q90" s="13"/>
      <c r="R90" s="13"/>
      <c r="S90" s="26"/>
      <c r="T90"/>
      <c r="U90"/>
      <c r="V90"/>
      <c r="W90"/>
    </row>
    <row r="91" spans="1:23" s="17" customFormat="1">
      <c r="A91" s="4"/>
      <c r="B91" s="7" t="str">
        <f t="shared" si="5"/>
        <v/>
      </c>
      <c r="D91" s="1"/>
      <c r="E91" s="1"/>
      <c r="F91" s="1"/>
      <c r="G91" s="1"/>
      <c r="H91" s="31" t="str">
        <f t="shared" si="6"/>
        <v/>
      </c>
      <c r="I91" s="32" t="str">
        <f t="shared" si="6"/>
        <v/>
      </c>
      <c r="J91" s="32" t="str">
        <f t="shared" si="6"/>
        <v/>
      </c>
      <c r="K91" s="30" t="str">
        <f t="shared" si="6"/>
        <v/>
      </c>
      <c r="L91" s="13"/>
      <c r="M91" s="13"/>
      <c r="N91" s="13"/>
      <c r="O91" s="13"/>
      <c r="P91" s="13"/>
      <c r="Q91" s="13"/>
      <c r="R91" s="13"/>
      <c r="S91" s="26"/>
      <c r="T91"/>
      <c r="U91"/>
      <c r="V91"/>
      <c r="W91"/>
    </row>
    <row r="92" spans="1:23" s="17" customFormat="1">
      <c r="A92" s="4"/>
      <c r="B92" s="7" t="str">
        <f t="shared" si="5"/>
        <v/>
      </c>
      <c r="D92" s="1"/>
      <c r="E92" s="1"/>
      <c r="F92" s="1"/>
      <c r="G92" s="1"/>
      <c r="H92" s="31" t="str">
        <f t="shared" si="6"/>
        <v/>
      </c>
      <c r="I92" s="32" t="str">
        <f t="shared" si="6"/>
        <v/>
      </c>
      <c r="J92" s="32" t="str">
        <f t="shared" si="6"/>
        <v/>
      </c>
      <c r="K92" s="30" t="str">
        <f t="shared" si="6"/>
        <v/>
      </c>
      <c r="L92" s="13"/>
      <c r="M92" s="13"/>
      <c r="N92" s="13"/>
      <c r="O92" s="13"/>
      <c r="P92" s="13"/>
      <c r="Q92" s="13"/>
      <c r="R92" s="13"/>
      <c r="S92" s="26"/>
      <c r="T92"/>
      <c r="U92"/>
      <c r="V92"/>
      <c r="W92"/>
    </row>
    <row r="93" spans="1:23" s="17" customFormat="1">
      <c r="A93" s="4"/>
      <c r="B93" s="7" t="str">
        <f t="shared" si="5"/>
        <v/>
      </c>
      <c r="D93" s="1"/>
      <c r="E93" s="1"/>
      <c r="F93" s="1"/>
      <c r="G93" s="1"/>
      <c r="H93" s="31" t="str">
        <f t="shared" si="6"/>
        <v/>
      </c>
      <c r="I93" s="32" t="str">
        <f t="shared" si="6"/>
        <v/>
      </c>
      <c r="J93" s="32" t="str">
        <f t="shared" si="6"/>
        <v/>
      </c>
      <c r="K93" s="30" t="str">
        <f t="shared" si="6"/>
        <v/>
      </c>
      <c r="L93" s="13"/>
      <c r="M93" s="13"/>
      <c r="N93" s="13"/>
      <c r="O93" s="13"/>
      <c r="P93" s="13"/>
      <c r="Q93" s="13"/>
      <c r="R93" s="13"/>
      <c r="S93" s="26"/>
      <c r="T93"/>
      <c r="U93"/>
      <c r="V93"/>
      <c r="W93"/>
    </row>
    <row r="94" spans="1:23" s="17" customFormat="1">
      <c r="A94" s="4"/>
      <c r="B94" s="7" t="str">
        <f t="shared" si="5"/>
        <v/>
      </c>
      <c r="D94" s="1"/>
      <c r="E94" s="1"/>
      <c r="F94" s="1"/>
      <c r="G94" s="1"/>
      <c r="H94" s="31" t="str">
        <f t="shared" si="6"/>
        <v/>
      </c>
      <c r="I94" s="32" t="str">
        <f t="shared" si="6"/>
        <v/>
      </c>
      <c r="J94" s="32" t="str">
        <f t="shared" si="6"/>
        <v/>
      </c>
      <c r="K94" s="30" t="str">
        <f t="shared" si="6"/>
        <v/>
      </c>
      <c r="L94" s="13"/>
      <c r="M94" s="13"/>
      <c r="N94" s="13"/>
      <c r="O94" s="13"/>
      <c r="P94" s="13"/>
      <c r="Q94" s="13"/>
      <c r="R94" s="13"/>
      <c r="S94" s="26"/>
      <c r="T94"/>
      <c r="U94"/>
      <c r="V94"/>
      <c r="W94"/>
    </row>
    <row r="95" spans="1:23" s="17" customFormat="1">
      <c r="A95" s="4"/>
      <c r="B95" s="7" t="str">
        <f t="shared" si="5"/>
        <v/>
      </c>
      <c r="D95" s="1"/>
      <c r="E95" s="1"/>
      <c r="F95" s="1"/>
      <c r="G95" s="1"/>
      <c r="H95" s="31" t="str">
        <f t="shared" si="6"/>
        <v/>
      </c>
      <c r="I95" s="32" t="str">
        <f t="shared" si="6"/>
        <v/>
      </c>
      <c r="J95" s="32" t="str">
        <f t="shared" si="6"/>
        <v/>
      </c>
      <c r="K95" s="30" t="str">
        <f t="shared" si="6"/>
        <v/>
      </c>
      <c r="L95" s="13"/>
      <c r="M95" s="13"/>
      <c r="N95" s="13"/>
      <c r="O95" s="13"/>
      <c r="P95" s="13"/>
      <c r="Q95" s="13"/>
      <c r="R95" s="13"/>
      <c r="S95" s="26"/>
      <c r="T95"/>
      <c r="U95"/>
      <c r="V95"/>
      <c r="W95"/>
    </row>
    <row r="96" spans="1:23" s="17" customFormat="1">
      <c r="A96" s="4"/>
      <c r="B96" s="7" t="str">
        <f t="shared" si="5"/>
        <v/>
      </c>
      <c r="D96" s="1"/>
      <c r="E96" s="1"/>
      <c r="F96" s="1"/>
      <c r="G96" s="1"/>
      <c r="H96" s="31" t="str">
        <f t="shared" si="6"/>
        <v/>
      </c>
      <c r="I96" s="32" t="str">
        <f t="shared" si="6"/>
        <v/>
      </c>
      <c r="J96" s="32" t="str">
        <f t="shared" si="6"/>
        <v/>
      </c>
      <c r="K96" s="30" t="str">
        <f t="shared" si="6"/>
        <v/>
      </c>
      <c r="L96" s="13"/>
      <c r="M96" s="13"/>
      <c r="N96" s="13"/>
      <c r="O96" s="13"/>
      <c r="P96" s="13"/>
      <c r="Q96" s="13"/>
      <c r="R96" s="13"/>
      <c r="S96" s="26"/>
      <c r="T96"/>
      <c r="U96"/>
      <c r="V96"/>
      <c r="W96"/>
    </row>
    <row r="97" spans="1:27" s="17" customFormat="1">
      <c r="A97" s="4"/>
      <c r="B97" s="7" t="str">
        <f t="shared" si="5"/>
        <v/>
      </c>
      <c r="D97" s="1"/>
      <c r="E97" s="1"/>
      <c r="F97" s="1"/>
      <c r="G97" s="1"/>
      <c r="H97" s="31" t="str">
        <f t="shared" si="6"/>
        <v/>
      </c>
      <c r="I97" s="32" t="str">
        <f t="shared" si="6"/>
        <v/>
      </c>
      <c r="J97" s="32" t="str">
        <f t="shared" si="6"/>
        <v/>
      </c>
      <c r="K97" s="30" t="str">
        <f t="shared" si="6"/>
        <v/>
      </c>
      <c r="L97" s="13"/>
      <c r="M97" s="13"/>
      <c r="N97" s="13"/>
      <c r="O97" s="13"/>
      <c r="P97" s="13"/>
      <c r="Q97" s="13"/>
      <c r="R97" s="13"/>
      <c r="S97" s="26"/>
      <c r="T97"/>
      <c r="U97"/>
      <c r="V97"/>
      <c r="W97"/>
    </row>
    <row r="98" spans="1:27" s="17" customFormat="1">
      <c r="A98" s="4"/>
      <c r="B98" s="7" t="str">
        <f t="shared" si="5"/>
        <v/>
      </c>
      <c r="D98" s="1"/>
      <c r="E98" s="1"/>
      <c r="F98" s="1"/>
      <c r="G98" s="1"/>
      <c r="H98" s="31" t="str">
        <f t="shared" si="6"/>
        <v/>
      </c>
      <c r="I98" s="32" t="str">
        <f t="shared" si="6"/>
        <v/>
      </c>
      <c r="J98" s="32" t="str">
        <f t="shared" si="6"/>
        <v/>
      </c>
      <c r="K98" s="30" t="str">
        <f t="shared" si="6"/>
        <v/>
      </c>
      <c r="L98" s="13"/>
      <c r="M98" s="13"/>
      <c r="N98" s="13"/>
      <c r="O98" s="13"/>
      <c r="P98" s="13"/>
      <c r="Q98" s="13"/>
      <c r="R98" s="13"/>
      <c r="S98" s="26"/>
      <c r="T98"/>
      <c r="U98"/>
      <c r="V98"/>
      <c r="W98"/>
    </row>
    <row r="99" spans="1:27" s="17" customFormat="1">
      <c r="A99" s="4"/>
      <c r="B99" s="7" t="str">
        <f t="shared" si="5"/>
        <v/>
      </c>
      <c r="D99" s="1"/>
      <c r="E99" s="1"/>
      <c r="F99" s="1"/>
      <c r="G99" s="1"/>
      <c r="H99" s="31" t="str">
        <f t="shared" si="6"/>
        <v/>
      </c>
      <c r="I99" s="32" t="str">
        <f t="shared" si="6"/>
        <v/>
      </c>
      <c r="J99" s="32" t="str">
        <f t="shared" si="6"/>
        <v/>
      </c>
      <c r="K99" s="30" t="str">
        <f t="shared" si="6"/>
        <v/>
      </c>
      <c r="L99" s="13"/>
      <c r="M99" s="13"/>
      <c r="N99" s="13"/>
      <c r="O99" s="13"/>
      <c r="P99" s="13"/>
      <c r="Q99" s="13"/>
      <c r="R99" s="13"/>
      <c r="S99" s="26"/>
      <c r="T99"/>
      <c r="U99"/>
      <c r="V99"/>
      <c r="W99"/>
      <c r="X99" s="13"/>
      <c r="Y99" s="13"/>
      <c r="Z99" s="13"/>
      <c r="AA99" s="13"/>
    </row>
    <row r="100" spans="1:27" s="17" customFormat="1">
      <c r="A100" s="4"/>
      <c r="B100" s="7" t="str">
        <f t="shared" si="5"/>
        <v/>
      </c>
      <c r="D100" s="1"/>
      <c r="E100" s="1"/>
      <c r="F100" s="1"/>
      <c r="G100" s="1"/>
      <c r="H100" s="31" t="str">
        <f t="shared" si="6"/>
        <v/>
      </c>
      <c r="I100" s="32" t="str">
        <f t="shared" si="6"/>
        <v/>
      </c>
      <c r="J100" s="32" t="str">
        <f t="shared" si="6"/>
        <v/>
      </c>
      <c r="K100" s="30" t="str">
        <f t="shared" si="6"/>
        <v/>
      </c>
      <c r="L100" s="13"/>
      <c r="M100" s="13"/>
      <c r="N100" s="13"/>
      <c r="O100" s="13"/>
      <c r="P100" s="13"/>
      <c r="Q100" s="13"/>
      <c r="R100" s="13"/>
      <c r="S100" s="26"/>
      <c r="T100"/>
      <c r="U100"/>
      <c r="V100"/>
      <c r="W100"/>
      <c r="X100" s="13"/>
      <c r="Y100" s="13"/>
      <c r="Z100" s="13"/>
      <c r="AA100" s="13"/>
    </row>
    <row r="101" spans="1:27" s="13" customFormat="1">
      <c r="A101" s="4"/>
      <c r="B101" s="7" t="str">
        <f t="shared" si="5"/>
        <v/>
      </c>
      <c r="C101" s="17"/>
      <c r="D101" s="1"/>
      <c r="E101" s="1"/>
      <c r="F101" s="1"/>
      <c r="G101" s="1"/>
      <c r="H101" s="31" t="str">
        <f t="shared" si="6"/>
        <v/>
      </c>
      <c r="I101" s="32" t="str">
        <f t="shared" si="6"/>
        <v/>
      </c>
      <c r="J101" s="32" t="str">
        <f t="shared" si="6"/>
        <v/>
      </c>
      <c r="K101" s="30" t="str">
        <f t="shared" si="6"/>
        <v/>
      </c>
      <c r="S101" s="26"/>
      <c r="T101"/>
      <c r="U101"/>
      <c r="V101"/>
      <c r="W101"/>
    </row>
    <row r="102" spans="1:27" s="13" customFormat="1">
      <c r="A102" s="4"/>
      <c r="B102" s="7" t="str">
        <f t="shared" si="5"/>
        <v/>
      </c>
      <c r="C102" s="17"/>
      <c r="D102" s="1"/>
      <c r="E102" s="1"/>
      <c r="F102" s="1"/>
      <c r="G102" s="1"/>
      <c r="H102" s="31" t="str">
        <f t="shared" si="6"/>
        <v/>
      </c>
      <c r="I102" s="32" t="str">
        <f t="shared" si="6"/>
        <v/>
      </c>
      <c r="J102" s="32" t="str">
        <f t="shared" si="6"/>
        <v/>
      </c>
      <c r="K102" s="30" t="str">
        <f t="shared" si="6"/>
        <v/>
      </c>
      <c r="S102" s="26"/>
      <c r="T102"/>
      <c r="U102"/>
      <c r="V102"/>
      <c r="W102"/>
    </row>
    <row r="103" spans="1:27" s="13" customFormat="1">
      <c r="A103" s="4"/>
      <c r="B103" s="7" t="str">
        <f t="shared" si="5"/>
        <v/>
      </c>
      <c r="C103" s="17"/>
      <c r="D103" s="1"/>
      <c r="E103" s="1"/>
      <c r="F103" s="1"/>
      <c r="G103" s="1"/>
      <c r="H103" s="31" t="str">
        <f t="shared" si="6"/>
        <v/>
      </c>
      <c r="I103" s="32" t="str">
        <f t="shared" si="6"/>
        <v/>
      </c>
      <c r="J103" s="32" t="str">
        <f t="shared" si="6"/>
        <v/>
      </c>
      <c r="K103" s="30" t="str">
        <f t="shared" si="6"/>
        <v/>
      </c>
      <c r="S103" s="26"/>
      <c r="T103"/>
      <c r="U103"/>
      <c r="V103"/>
      <c r="W103"/>
    </row>
    <row r="104" spans="1:27" s="13" customFormat="1">
      <c r="A104" s="4"/>
      <c r="B104" s="7" t="str">
        <f t="shared" si="5"/>
        <v/>
      </c>
      <c r="C104" s="17"/>
      <c r="D104" s="1"/>
      <c r="E104" s="1"/>
      <c r="F104" s="1"/>
      <c r="G104" s="1"/>
      <c r="H104" s="31" t="str">
        <f t="shared" si="6"/>
        <v/>
      </c>
      <c r="I104" s="32" t="str">
        <f t="shared" si="6"/>
        <v/>
      </c>
      <c r="J104" s="32" t="str">
        <f t="shared" si="6"/>
        <v/>
      </c>
      <c r="K104" s="30" t="str">
        <f t="shared" si="6"/>
        <v/>
      </c>
      <c r="S104" s="26"/>
      <c r="T104"/>
      <c r="U104"/>
      <c r="V104"/>
      <c r="W104"/>
    </row>
    <row r="105" spans="1:27" s="13" customFormat="1">
      <c r="A105" s="4"/>
      <c r="B105" s="7" t="str">
        <f t="shared" si="5"/>
        <v/>
      </c>
      <c r="C105" s="17"/>
      <c r="D105" s="1"/>
      <c r="E105" s="1"/>
      <c r="F105" s="1"/>
      <c r="G105" s="1"/>
      <c r="H105" s="31" t="str">
        <f t="shared" si="6"/>
        <v/>
      </c>
      <c r="I105" s="32" t="str">
        <f t="shared" si="6"/>
        <v/>
      </c>
      <c r="J105" s="32" t="str">
        <f t="shared" si="6"/>
        <v/>
      </c>
      <c r="K105" s="30" t="str">
        <f t="shared" si="6"/>
        <v/>
      </c>
      <c r="S105" s="26"/>
      <c r="T105"/>
      <c r="U105"/>
      <c r="V105"/>
      <c r="W105"/>
    </row>
    <row r="106" spans="1:27" s="13" customFormat="1">
      <c r="A106" s="4"/>
      <c r="B106" s="7" t="str">
        <f t="shared" si="5"/>
        <v/>
      </c>
      <c r="C106" s="17"/>
      <c r="D106" s="1"/>
      <c r="E106" s="1"/>
      <c r="F106" s="1"/>
      <c r="G106" s="1"/>
      <c r="H106" s="31" t="str">
        <f t="shared" si="6"/>
        <v/>
      </c>
      <c r="I106" s="32" t="str">
        <f t="shared" si="6"/>
        <v/>
      </c>
      <c r="J106" s="32" t="str">
        <f t="shared" si="6"/>
        <v/>
      </c>
      <c r="K106" s="30" t="str">
        <f t="shared" si="6"/>
        <v/>
      </c>
      <c r="S106" s="26"/>
      <c r="T106"/>
      <c r="U106"/>
      <c r="V106"/>
      <c r="W106"/>
    </row>
    <row r="107" spans="1:27" s="13" customFormat="1">
      <c r="A107" s="4"/>
      <c r="B107" s="7" t="str">
        <f t="shared" si="5"/>
        <v/>
      </c>
      <c r="C107" s="17"/>
      <c r="D107" s="1"/>
      <c r="E107" s="1"/>
      <c r="F107" s="1"/>
      <c r="G107" s="1"/>
      <c r="H107" s="31" t="str">
        <f t="shared" si="6"/>
        <v/>
      </c>
      <c r="I107" s="32" t="str">
        <f t="shared" si="6"/>
        <v/>
      </c>
      <c r="J107" s="32" t="str">
        <f t="shared" si="6"/>
        <v/>
      </c>
      <c r="K107" s="30" t="str">
        <f t="shared" si="6"/>
        <v/>
      </c>
      <c r="S107" s="26"/>
      <c r="T107"/>
      <c r="U107"/>
      <c r="V107"/>
      <c r="W107"/>
    </row>
    <row r="108" spans="1:27" s="13" customFormat="1">
      <c r="A108" s="4"/>
      <c r="B108" s="7" t="str">
        <f t="shared" si="5"/>
        <v/>
      </c>
      <c r="C108" s="17"/>
      <c r="D108" s="1"/>
      <c r="E108" s="1"/>
      <c r="F108" s="1"/>
      <c r="G108" s="1"/>
      <c r="H108" s="31" t="str">
        <f t="shared" si="6"/>
        <v/>
      </c>
      <c r="I108" s="32" t="str">
        <f t="shared" si="6"/>
        <v/>
      </c>
      <c r="J108" s="32" t="str">
        <f t="shared" si="6"/>
        <v/>
      </c>
      <c r="K108" s="30" t="str">
        <f t="shared" si="6"/>
        <v/>
      </c>
      <c r="S108" s="26"/>
      <c r="T108"/>
      <c r="U108"/>
      <c r="V108"/>
      <c r="W108"/>
    </row>
    <row r="109" spans="1:27" s="13" customFormat="1">
      <c r="A109" s="4"/>
      <c r="B109" s="7" t="str">
        <f t="shared" si="5"/>
        <v/>
      </c>
      <c r="C109" s="17"/>
      <c r="D109" s="1"/>
      <c r="E109" s="1"/>
      <c r="F109" s="1"/>
      <c r="G109" s="1"/>
      <c r="H109" s="31" t="str">
        <f t="shared" si="6"/>
        <v/>
      </c>
      <c r="I109" s="32" t="str">
        <f t="shared" si="6"/>
        <v/>
      </c>
      <c r="J109" s="32" t="str">
        <f t="shared" si="6"/>
        <v/>
      </c>
      <c r="K109" s="30" t="str">
        <f t="shared" si="6"/>
        <v/>
      </c>
      <c r="S109" s="26"/>
      <c r="T109"/>
      <c r="U109"/>
      <c r="V109"/>
      <c r="W109"/>
    </row>
    <row r="110" spans="1:27" s="13" customFormat="1">
      <c r="A110" s="4"/>
      <c r="B110" s="7" t="str">
        <f t="shared" si="5"/>
        <v/>
      </c>
      <c r="C110" s="17"/>
      <c r="D110" s="1"/>
      <c r="E110" s="1"/>
      <c r="F110" s="1"/>
      <c r="G110" s="1"/>
      <c r="H110" s="31" t="str">
        <f t="shared" si="6"/>
        <v/>
      </c>
      <c r="I110" s="32" t="str">
        <f t="shared" si="6"/>
        <v/>
      </c>
      <c r="J110" s="32" t="str">
        <f t="shared" si="6"/>
        <v/>
      </c>
      <c r="K110" s="30" t="str">
        <f t="shared" si="6"/>
        <v/>
      </c>
      <c r="S110" s="26"/>
      <c r="T110"/>
      <c r="U110"/>
      <c r="V110"/>
      <c r="W110"/>
    </row>
    <row r="111" spans="1:27" s="13" customFormat="1">
      <c r="A111" s="4"/>
      <c r="B111" s="7" t="str">
        <f t="shared" si="5"/>
        <v/>
      </c>
      <c r="C111" s="17"/>
      <c r="D111" s="1"/>
      <c r="E111" s="1"/>
      <c r="F111" s="1"/>
      <c r="G111" s="1"/>
      <c r="H111" s="31" t="str">
        <f t="shared" si="6"/>
        <v/>
      </c>
      <c r="I111" s="32" t="str">
        <f t="shared" si="6"/>
        <v/>
      </c>
      <c r="J111" s="32" t="str">
        <f t="shared" si="6"/>
        <v/>
      </c>
      <c r="K111" s="30" t="str">
        <f t="shared" si="6"/>
        <v/>
      </c>
      <c r="S111" s="26"/>
      <c r="T111"/>
      <c r="U111"/>
      <c r="V111"/>
      <c r="W111"/>
    </row>
    <row r="112" spans="1:27" s="13" customFormat="1">
      <c r="A112" s="4"/>
      <c r="B112" s="7" t="str">
        <f t="shared" si="5"/>
        <v/>
      </c>
      <c r="C112" s="17"/>
      <c r="D112" s="1"/>
      <c r="E112" s="1"/>
      <c r="F112" s="1"/>
      <c r="G112" s="1"/>
      <c r="H112" s="31" t="str">
        <f t="shared" si="6"/>
        <v/>
      </c>
      <c r="I112" s="32" t="str">
        <f t="shared" si="6"/>
        <v/>
      </c>
      <c r="J112" s="32" t="str">
        <f t="shared" si="6"/>
        <v/>
      </c>
      <c r="K112" s="30" t="str">
        <f t="shared" si="6"/>
        <v/>
      </c>
      <c r="S112" s="26"/>
      <c r="T112"/>
      <c r="U112"/>
      <c r="V112"/>
      <c r="W112"/>
    </row>
    <row r="113" spans="1:23" s="13" customFormat="1">
      <c r="A113" s="4"/>
      <c r="B113" s="7" t="str">
        <f t="shared" si="5"/>
        <v/>
      </c>
      <c r="C113" s="17"/>
      <c r="D113" s="1"/>
      <c r="E113" s="1"/>
      <c r="F113" s="1"/>
      <c r="G113" s="1"/>
      <c r="H113" s="31" t="str">
        <f t="shared" si="6"/>
        <v/>
      </c>
      <c r="I113" s="32" t="str">
        <f t="shared" si="6"/>
        <v/>
      </c>
      <c r="J113" s="32" t="str">
        <f t="shared" si="6"/>
        <v/>
      </c>
      <c r="K113" s="30" t="str">
        <f t="shared" si="6"/>
        <v/>
      </c>
      <c r="S113" s="26"/>
      <c r="T113"/>
      <c r="U113"/>
      <c r="V113"/>
      <c r="W113"/>
    </row>
    <row r="114" spans="1:23" s="13" customFormat="1">
      <c r="A114" s="4"/>
      <c r="B114" s="7" t="str">
        <f t="shared" si="5"/>
        <v/>
      </c>
      <c r="C114" s="17"/>
      <c r="D114" s="1"/>
      <c r="E114" s="1"/>
      <c r="F114" s="1"/>
      <c r="G114" s="1"/>
      <c r="H114" s="31" t="str">
        <f t="shared" si="6"/>
        <v/>
      </c>
      <c r="I114" s="32" t="str">
        <f t="shared" si="6"/>
        <v/>
      </c>
      <c r="J114" s="32" t="str">
        <f t="shared" si="6"/>
        <v/>
      </c>
      <c r="K114" s="30" t="str">
        <f t="shared" si="6"/>
        <v/>
      </c>
      <c r="S114" s="26"/>
    </row>
    <row r="115" spans="1:23" s="13" customFormat="1">
      <c r="A115" s="4"/>
      <c r="B115" s="7" t="str">
        <f t="shared" si="5"/>
        <v/>
      </c>
      <c r="C115" s="17"/>
      <c r="D115" s="1"/>
      <c r="E115" s="1"/>
      <c r="F115" s="1"/>
      <c r="G115" s="1"/>
      <c r="H115" s="31" t="str">
        <f t="shared" si="6"/>
        <v/>
      </c>
      <c r="I115" s="32" t="str">
        <f t="shared" si="6"/>
        <v/>
      </c>
      <c r="J115" s="32" t="str">
        <f t="shared" si="6"/>
        <v/>
      </c>
      <c r="K115" s="30" t="str">
        <f t="shared" si="6"/>
        <v/>
      </c>
      <c r="S115" s="26"/>
    </row>
    <row r="116" spans="1:23" s="13" customFormat="1">
      <c r="A116" s="4"/>
      <c r="B116" s="7" t="str">
        <f t="shared" si="5"/>
        <v/>
      </c>
      <c r="C116" s="17"/>
      <c r="D116" s="1"/>
      <c r="E116" s="1"/>
      <c r="F116" s="1"/>
      <c r="G116" s="1"/>
      <c r="H116" s="31" t="str">
        <f t="shared" si="6"/>
        <v/>
      </c>
      <c r="I116" s="32" t="str">
        <f t="shared" si="6"/>
        <v/>
      </c>
      <c r="J116" s="32" t="str">
        <f t="shared" si="6"/>
        <v/>
      </c>
      <c r="K116" s="30" t="str">
        <f t="shared" si="6"/>
        <v/>
      </c>
      <c r="S116" s="26"/>
    </row>
    <row r="117" spans="1:23" s="13" customFormat="1">
      <c r="A117" s="4"/>
      <c r="B117" s="7" t="str">
        <f t="shared" si="5"/>
        <v/>
      </c>
      <c r="C117" s="17"/>
      <c r="D117" s="1"/>
      <c r="E117" s="1"/>
      <c r="F117" s="1"/>
      <c r="G117" s="1"/>
      <c r="H117" s="31" t="str">
        <f t="shared" si="6"/>
        <v/>
      </c>
      <c r="I117" s="32" t="str">
        <f t="shared" si="6"/>
        <v/>
      </c>
      <c r="J117" s="32" t="str">
        <f t="shared" si="6"/>
        <v/>
      </c>
      <c r="K117" s="30" t="str">
        <f t="shared" si="6"/>
        <v/>
      </c>
      <c r="S117" s="26"/>
    </row>
    <row r="118" spans="1:23" s="13" customFormat="1">
      <c r="A118" s="4"/>
      <c r="B118" s="7" t="str">
        <f t="shared" si="5"/>
        <v/>
      </c>
      <c r="C118" s="17"/>
      <c r="D118" s="1"/>
      <c r="E118" s="1"/>
      <c r="F118" s="1"/>
      <c r="G118" s="1"/>
      <c r="H118" s="31" t="str">
        <f t="shared" si="6"/>
        <v/>
      </c>
      <c r="I118" s="32" t="str">
        <f t="shared" si="6"/>
        <v/>
      </c>
      <c r="J118" s="32" t="str">
        <f t="shared" si="6"/>
        <v/>
      </c>
      <c r="K118" s="30" t="str">
        <f t="shared" si="6"/>
        <v/>
      </c>
      <c r="S118" s="26"/>
    </row>
    <row r="119" spans="1:23" s="13" customFormat="1">
      <c r="A119" s="4"/>
      <c r="B119" s="7" t="str">
        <f t="shared" si="5"/>
        <v/>
      </c>
      <c r="C119" s="17"/>
      <c r="D119" s="1"/>
      <c r="E119" s="1"/>
      <c r="F119" s="1"/>
      <c r="G119" s="1"/>
      <c r="H119" s="31" t="str">
        <f t="shared" si="6"/>
        <v/>
      </c>
      <c r="I119" s="32" t="str">
        <f t="shared" si="6"/>
        <v/>
      </c>
      <c r="J119" s="32" t="str">
        <f t="shared" si="6"/>
        <v/>
      </c>
      <c r="K119" s="30" t="str">
        <f t="shared" si="6"/>
        <v/>
      </c>
      <c r="S119" s="26"/>
    </row>
    <row r="120" spans="1:23" s="13" customFormat="1" ht="15.75" thickBot="1">
      <c r="A120" s="156"/>
      <c r="B120" s="157" t="str">
        <f t="shared" si="5"/>
        <v/>
      </c>
      <c r="C120" s="158"/>
      <c r="D120" s="159"/>
      <c r="E120" s="159"/>
      <c r="F120" s="159"/>
      <c r="G120" s="159"/>
      <c r="H120" s="160" t="str">
        <f t="shared" si="6"/>
        <v/>
      </c>
      <c r="I120" s="33" t="str">
        <f t="shared" si="6"/>
        <v/>
      </c>
      <c r="J120" s="33" t="str">
        <f t="shared" si="6"/>
        <v/>
      </c>
      <c r="K120" s="34" t="str">
        <f t="shared" si="6"/>
        <v/>
      </c>
      <c r="S120" s="26"/>
    </row>
  </sheetData>
  <mergeCells count="8">
    <mergeCell ref="Y5:AD8"/>
    <mergeCell ref="Y15:AD17"/>
    <mergeCell ref="Y18:AD20"/>
    <mergeCell ref="Y21:AD24"/>
    <mergeCell ref="A1:G1"/>
    <mergeCell ref="H1:K1"/>
    <mergeCell ref="M1:Q1"/>
    <mergeCell ref="S15:S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ilha3"/>
  <dimension ref="A1:AB153"/>
  <sheetViews>
    <sheetView topLeftCell="K1" workbookViewId="0">
      <selection activeCell="T11" sqref="T11"/>
    </sheetView>
  </sheetViews>
  <sheetFormatPr defaultRowHeight="15"/>
  <cols>
    <col min="1" max="1" width="9.140625" style="4"/>
    <col min="2" max="2" width="9.140625" style="13"/>
    <col min="3" max="3" width="12.28515625" style="17" customWidth="1"/>
    <col min="4" max="7" width="9.140625" style="1"/>
    <col min="8" max="8" width="12.42578125" style="18" bestFit="1" customWidth="1"/>
    <col min="9" max="10" width="9.140625" style="23"/>
    <col min="11" max="11" width="9.140625" style="17"/>
    <col min="12" max="12" width="4" style="13" customWidth="1"/>
    <col min="13" max="13" width="13.28515625" style="13" bestFit="1" customWidth="1"/>
    <col min="14" max="17" width="9.140625" style="13"/>
    <col min="18" max="18" width="3.85546875" style="13" customWidth="1"/>
    <col min="19" max="19" width="23.85546875" style="26" customWidth="1"/>
    <col min="20" max="23" width="15.28515625" style="13" customWidth="1"/>
    <col min="24" max="16384" width="9.140625" style="13"/>
  </cols>
  <sheetData>
    <row r="1" spans="1:23" s="8" customFormat="1" ht="19.5" thickBot="1">
      <c r="A1" s="138" t="s">
        <v>0</v>
      </c>
      <c r="B1" s="139"/>
      <c r="C1" s="139"/>
      <c r="D1" s="139"/>
      <c r="E1" s="139"/>
      <c r="F1" s="139"/>
      <c r="G1" s="140"/>
      <c r="H1" s="138" t="s">
        <v>1</v>
      </c>
      <c r="I1" s="139"/>
      <c r="J1" s="139"/>
      <c r="K1" s="140"/>
      <c r="M1" s="141" t="s">
        <v>2</v>
      </c>
      <c r="N1" s="142"/>
      <c r="O1" s="142"/>
      <c r="P1" s="142"/>
      <c r="Q1" s="143"/>
      <c r="S1" s="56" t="s">
        <v>58</v>
      </c>
      <c r="T1" s="41">
        <v>0.97916666666666663</v>
      </c>
      <c r="U1" s="56" t="s">
        <v>59</v>
      </c>
      <c r="V1" s="41">
        <v>0.3125</v>
      </c>
      <c r="W1" s="28"/>
    </row>
    <row r="2" spans="1:23" ht="15.75" thickBot="1">
      <c r="A2" s="46" t="s">
        <v>3</v>
      </c>
      <c r="B2" s="9" t="s">
        <v>4</v>
      </c>
      <c r="C2" s="55" t="s">
        <v>5</v>
      </c>
      <c r="D2" s="48" t="s">
        <v>6</v>
      </c>
      <c r="E2" s="49" t="s">
        <v>7</v>
      </c>
      <c r="F2" s="49" t="s">
        <v>8</v>
      </c>
      <c r="G2" s="50" t="s">
        <v>9</v>
      </c>
      <c r="H2" s="11" t="s">
        <v>6</v>
      </c>
      <c r="I2" s="10" t="s">
        <v>7</v>
      </c>
      <c r="J2" s="10" t="s">
        <v>8</v>
      </c>
      <c r="K2" s="12" t="s">
        <v>9</v>
      </c>
      <c r="M2" s="14" t="s">
        <v>3</v>
      </c>
      <c r="N2" s="15" t="s">
        <v>6</v>
      </c>
      <c r="O2" s="15" t="s">
        <v>7</v>
      </c>
      <c r="P2" s="15" t="s">
        <v>8</v>
      </c>
      <c r="Q2" s="16" t="s">
        <v>9</v>
      </c>
      <c r="S2" s="37"/>
      <c r="T2" s="38" t="s">
        <v>6</v>
      </c>
      <c r="U2" s="39" t="s">
        <v>7</v>
      </c>
      <c r="V2" s="39" t="s">
        <v>10</v>
      </c>
      <c r="W2" s="40" t="s">
        <v>9</v>
      </c>
    </row>
    <row r="3" spans="1:23">
      <c r="A3" s="47">
        <v>0.3659722222222222</v>
      </c>
      <c r="B3" s="5"/>
      <c r="D3" s="51">
        <v>119</v>
      </c>
      <c r="E3" s="52">
        <v>89</v>
      </c>
      <c r="F3" s="52">
        <v>99</v>
      </c>
      <c r="G3" s="52">
        <v>77</v>
      </c>
      <c r="H3" s="19" t="s">
        <v>11</v>
      </c>
      <c r="I3" s="5"/>
      <c r="J3" s="5"/>
      <c r="K3" s="20"/>
      <c r="M3" s="21" t="s">
        <v>34</v>
      </c>
      <c r="N3" s="35" t="str">
        <f t="array" ref="N3">IFERROR(AVERAGE(IF((HOUR($A$3:$A$20)=LEFT($M3,2)*1)*NOT(ISBLANK($A$3:$A$20)),D$3:D$20,"")),"-")</f>
        <v>-</v>
      </c>
      <c r="O3" s="35" t="str">
        <f t="array" ref="O3">IFERROR(AVERAGE(IF((HOUR($A$3:$A$20)=LEFT($M3,2)*1)*NOT(ISBLANK($A$3:$A$20)),E$3:E$20,"")),"-")</f>
        <v>-</v>
      </c>
      <c r="P3" s="35" t="str">
        <f t="array" ref="P3">IFERROR(AVERAGE(IF((HOUR($A$3:$A$20)=LEFT($M3,2)*1)*NOT(ISBLANK($A$3:$A$20)),F$3:F$20,"")),"-")</f>
        <v>-</v>
      </c>
      <c r="Q3" s="36" t="str">
        <f t="array" ref="Q3">IFERROR(AVERAGE(IF((HOUR($A$3:$A$20)=LEFT($M3,2)*1)*NOT(ISBLANK($A$3:$A$20)),G$3:G$20,"")),"-")</f>
        <v>-</v>
      </c>
      <c r="S3" s="22" t="s">
        <v>12</v>
      </c>
      <c r="T3" s="57">
        <f>AVERAGE(D3:D120)</f>
        <v>115.15151515151516</v>
      </c>
      <c r="U3" s="58">
        <f>AVERAGE(E3:E120)</f>
        <v>75.545454545454547</v>
      </c>
      <c r="V3" s="58">
        <f>AVERAGE(F3:F120)</f>
        <v>88.803030303030297</v>
      </c>
      <c r="W3" s="59">
        <f>AVERAGE(G3:G120)</f>
        <v>80.196969696969703</v>
      </c>
    </row>
    <row r="4" spans="1:23" ht="15.75" thickBot="1">
      <c r="A4" s="47">
        <v>0.37083333333333335</v>
      </c>
      <c r="B4" s="7">
        <f>IF(A4&gt;0,IF(24*60*(A4-A3 + ((A4-A3)&lt;0))&gt;0,24*60*(A4-A3 + ((A4-A3)&lt;0)),""),"")</f>
        <v>7.0000000000000551</v>
      </c>
      <c r="D4" s="51">
        <v>122</v>
      </c>
      <c r="E4" s="52">
        <v>86</v>
      </c>
      <c r="F4" s="52">
        <v>98</v>
      </c>
      <c r="G4" s="52">
        <v>88</v>
      </c>
      <c r="H4" s="31">
        <f>IF($B4="","",(SQRT((D4-D3)*(D4-D3))*$B4))</f>
        <v>21.000000000000163</v>
      </c>
      <c r="I4" s="32">
        <f t="shared" ref="I4:K19" si="0">IF($B4="","",(SQRT((E4-E3)*(E4-E3))*$B4))</f>
        <v>21.000000000000163</v>
      </c>
      <c r="J4" s="32">
        <f t="shared" si="0"/>
        <v>7.0000000000000551</v>
      </c>
      <c r="K4" s="30">
        <f>IF($B4="","",(SQRT((G4-G3)*(G4-G3))*$B4))</f>
        <v>77.000000000000611</v>
      </c>
      <c r="M4" s="21" t="s">
        <v>35</v>
      </c>
      <c r="N4" s="35">
        <f t="array" ref="N4">IFERROR(AVERAGE(IF((HOUR($A$3:$A$20)=LEFT($M4,2)*1)*NOT(ISBLANK($A$3:$A$20)),D$3:D$20,"")),"-")</f>
        <v>120.5</v>
      </c>
      <c r="O4" s="35">
        <f t="array" ref="O4">IFERROR(AVERAGE(IF((HOUR($A$3:$A$20)=LEFT($M4,2)*1)*NOT(ISBLANK($A$3:$A$20)),E$3:E$20,"")),"-")</f>
        <v>87.5</v>
      </c>
      <c r="P4" s="35">
        <f t="array" ref="P4">IFERROR(AVERAGE(IF((HOUR($A$3:$A$20)=LEFT($M4,2)*1)*NOT(ISBLANK($A$3:$A$20)),F$3:F$20,"")),"-")</f>
        <v>98.5</v>
      </c>
      <c r="Q4" s="36">
        <f t="array" ref="Q4">IFERROR(AVERAGE(IF((HOUR($A$3:$A$20)=LEFT($M4,2)*1)*NOT(ISBLANK($A$3:$A$20)),G$3:G$20,"")),"-")</f>
        <v>82.5</v>
      </c>
      <c r="S4" s="24" t="s">
        <v>13</v>
      </c>
      <c r="T4" s="60">
        <f>STDEV(D3:D120)</f>
        <v>14.010152828730403</v>
      </c>
      <c r="U4" s="61">
        <f>STDEV(E3:E120)</f>
        <v>11.695076963185208</v>
      </c>
      <c r="V4" s="61">
        <f>STDEV(F3:F120)</f>
        <v>12.019496593797028</v>
      </c>
      <c r="W4" s="62">
        <f>STDEV(G3:G120)</f>
        <v>13.237731268519131</v>
      </c>
    </row>
    <row r="5" spans="1:23" ht="15" customHeight="1">
      <c r="A5" s="47">
        <v>0.38125000000000003</v>
      </c>
      <c r="B5" s="7">
        <f t="shared" ref="B5:B68" si="1">IF(A5&gt;0,IF(24*60*(A5-A4 + ((A5-A4)&lt;0))&gt;0,24*60*(A5-A4 + ((A5-A4)&lt;0)),""),"")</f>
        <v>15.000000000000027</v>
      </c>
      <c r="D5" s="51">
        <v>136</v>
      </c>
      <c r="E5" s="51">
        <v>95</v>
      </c>
      <c r="F5" s="51">
        <v>109</v>
      </c>
      <c r="G5" s="51">
        <v>80</v>
      </c>
      <c r="H5" s="31">
        <f t="shared" ref="H5:K68" si="2">IF($B5="","",(SQRT((D5-D4)*(D5-D4))*$B5))</f>
        <v>210.00000000000037</v>
      </c>
      <c r="I5" s="32">
        <f t="shared" si="0"/>
        <v>135.00000000000023</v>
      </c>
      <c r="J5" s="32">
        <f t="shared" si="0"/>
        <v>165.00000000000028</v>
      </c>
      <c r="K5" s="30">
        <f t="shared" si="0"/>
        <v>120.00000000000021</v>
      </c>
      <c r="M5" s="21" t="s">
        <v>36</v>
      </c>
      <c r="N5" s="35">
        <f t="array" ref="N5">IFERROR(AVERAGE(IF((HOUR($A$3:$A$20)=LEFT($M5,2)*1)*NOT(ISBLANK($A$3:$A$20)),D$3:D$20,"")),"-")</f>
        <v>131</v>
      </c>
      <c r="O5" s="35">
        <f t="array" ref="O5">IFERROR(AVERAGE(IF((HOUR($A$3:$A$20)=LEFT($M5,2)*1)*NOT(ISBLANK($A$3:$A$20)),E$3:E$20,"")),"-")</f>
        <v>88.5</v>
      </c>
      <c r="P5" s="35">
        <f t="array" ref="P5">IFERROR(AVERAGE(IF((HOUR($A$3:$A$20)=LEFT($M5,2)*1)*NOT(ISBLANK($A$3:$A$20)),F$3:F$20,"")),"-")</f>
        <v>103</v>
      </c>
      <c r="Q5" s="36">
        <f t="array" ref="Q5">IFERROR(AVERAGE(IF((HOUR($A$3:$A$20)=LEFT($M5,2)*1)*NOT(ISBLANK($A$3:$A$20)),G$3:G$20,"")),"-")</f>
        <v>80.5</v>
      </c>
      <c r="S5" s="42" t="s">
        <v>14</v>
      </c>
      <c r="T5" s="57">
        <f>AVERAGE(D3:D49,D66:D68)</f>
        <v>120.08</v>
      </c>
      <c r="U5" s="58">
        <f t="shared" ref="U5:W5" si="3">AVERAGE(E3:E49,E66:E68)</f>
        <v>79.5</v>
      </c>
      <c r="V5" s="58">
        <f t="shared" si="3"/>
        <v>93.1</v>
      </c>
      <c r="W5" s="59">
        <f t="shared" si="3"/>
        <v>85.66</v>
      </c>
    </row>
    <row r="6" spans="1:23" ht="15.75" thickBot="1">
      <c r="A6" s="47">
        <v>0.41250000000000003</v>
      </c>
      <c r="B6" s="7">
        <f t="shared" si="1"/>
        <v>45</v>
      </c>
      <c r="D6" s="51">
        <v>126</v>
      </c>
      <c r="E6" s="51">
        <v>82</v>
      </c>
      <c r="F6" s="51">
        <v>97</v>
      </c>
      <c r="G6" s="51">
        <v>81</v>
      </c>
      <c r="H6" s="31">
        <f t="shared" si="2"/>
        <v>450</v>
      </c>
      <c r="I6" s="32">
        <f t="shared" si="0"/>
        <v>585</v>
      </c>
      <c r="J6" s="32">
        <f t="shared" si="0"/>
        <v>540</v>
      </c>
      <c r="K6" s="30">
        <f t="shared" si="0"/>
        <v>45</v>
      </c>
      <c r="M6" s="21" t="s">
        <v>37</v>
      </c>
      <c r="N6" s="35">
        <f t="array" ref="N6">IFERROR(AVERAGE(IF((HOUR($A$3:$A$120)=LEFT($M6,2)*1)*NOT(ISBLANK($A$3:$A$120)),D$3:D$120,"")),"-")</f>
        <v>120</v>
      </c>
      <c r="O6" s="35">
        <f t="array" ref="O6">IFERROR(AVERAGE(IF((HOUR($A$3:$A$120)=LEFT($M6,2)*1)*NOT(ISBLANK($A$3:$A$120)),E$3:E$120,"")),"-")</f>
        <v>81.25</v>
      </c>
      <c r="P6" s="35">
        <f t="array" ref="P6">IFERROR(AVERAGE(IF((HOUR($A$3:$A$120)=LEFT($M6,2)*1)*NOT(ISBLANK($A$3:$A$120)),F$3:F$120,"")),"-")</f>
        <v>94.25</v>
      </c>
      <c r="Q6" s="36">
        <f t="array" ref="Q6">IFERROR(AVERAGE(IF((HOUR($A$3:$A$120)=LEFT($M6,2)*1)*NOT(ISBLANK($A$3:$A$120)),G$3:G$120,"")),"-")</f>
        <v>91.5</v>
      </c>
      <c r="S6" s="43" t="s">
        <v>15</v>
      </c>
      <c r="T6" s="60">
        <f>STDEV(D3:D498,D66:D68)</f>
        <v>13.966636045273843</v>
      </c>
      <c r="U6" s="61">
        <f t="shared" ref="U6:W6" si="4">STDEV(E3:E498,E66:E68)</f>
        <v>11.566516922803075</v>
      </c>
      <c r="V6" s="61">
        <f t="shared" si="4"/>
        <v>11.93422939288692</v>
      </c>
      <c r="W6" s="62">
        <f t="shared" si="4"/>
        <v>14.54089977996245</v>
      </c>
    </row>
    <row r="7" spans="1:23">
      <c r="A7" s="47">
        <v>0.42291666666666666</v>
      </c>
      <c r="B7" s="7">
        <f t="shared" si="1"/>
        <v>14.999999999999947</v>
      </c>
      <c r="D7" s="51">
        <v>124</v>
      </c>
      <c r="E7" s="51">
        <v>87</v>
      </c>
      <c r="F7" s="51">
        <v>99</v>
      </c>
      <c r="G7" s="51">
        <v>87</v>
      </c>
      <c r="H7" s="31">
        <f t="shared" si="2"/>
        <v>29.999999999999893</v>
      </c>
      <c r="I7" s="32">
        <f t="shared" si="0"/>
        <v>74.99999999999973</v>
      </c>
      <c r="J7" s="32">
        <f t="shared" si="0"/>
        <v>29.999999999999893</v>
      </c>
      <c r="K7" s="30">
        <f t="shared" si="0"/>
        <v>89.999999999999687</v>
      </c>
      <c r="M7" s="21" t="s">
        <v>38</v>
      </c>
      <c r="N7" s="35">
        <f t="array" ref="N7">IFERROR(AVERAGE(IF((HOUR($A$3:$A$120)=LEFT($M7,2)*1)*NOT(ISBLANK($A$3:$A$120)),D$3:D$120,"")),"-")</f>
        <v>125.5</v>
      </c>
      <c r="O7" s="35">
        <f t="array" ref="O7">IFERROR(AVERAGE(IF((HOUR($A$3:$A$120)=LEFT($M7,2)*1)*NOT(ISBLANK($A$3:$A$120)),E$3:E$120,"")),"-")</f>
        <v>90.5</v>
      </c>
      <c r="P7" s="35">
        <f t="array" ref="P7">IFERROR(AVERAGE(IF((HOUR($A$3:$A$120)=LEFT($M7,2)*1)*NOT(ISBLANK($A$3:$A$120)),F$3:F$120,"")),"-")</f>
        <v>102</v>
      </c>
      <c r="Q7" s="36">
        <f t="array" ref="Q7">IFERROR(AVERAGE(IF((HOUR($A$3:$A$120)=LEFT($M7,2)*1)*NOT(ISBLANK($A$3:$A$120)),G$3:G$120,"")),"-")</f>
        <v>77.5</v>
      </c>
      <c r="S7" s="44" t="s">
        <v>16</v>
      </c>
      <c r="T7" s="57">
        <f>AVERAGE(D50:D65)</f>
        <v>99.75</v>
      </c>
      <c r="U7" s="58">
        <f t="shared" ref="U7:W7" si="5">AVERAGE(E50:E65)</f>
        <v>63.1875</v>
      </c>
      <c r="V7" s="58">
        <f t="shared" si="5"/>
        <v>75.375</v>
      </c>
      <c r="W7" s="59">
        <f t="shared" si="5"/>
        <v>63.125</v>
      </c>
    </row>
    <row r="8" spans="1:23" ht="15.75" thickBot="1">
      <c r="A8" s="47">
        <v>0.43333333333333335</v>
      </c>
      <c r="B8" s="7">
        <f t="shared" si="1"/>
        <v>15.000000000000027</v>
      </c>
      <c r="D8" s="51">
        <v>113</v>
      </c>
      <c r="E8" s="51">
        <v>78</v>
      </c>
      <c r="F8" s="51">
        <v>90</v>
      </c>
      <c r="G8" s="51">
        <v>88</v>
      </c>
      <c r="H8" s="31">
        <f t="shared" si="2"/>
        <v>165.00000000000028</v>
      </c>
      <c r="I8" s="32">
        <f t="shared" si="0"/>
        <v>135.00000000000023</v>
      </c>
      <c r="J8" s="32">
        <f t="shared" si="0"/>
        <v>135.00000000000023</v>
      </c>
      <c r="K8" s="30">
        <f t="shared" si="0"/>
        <v>15.000000000000027</v>
      </c>
      <c r="M8" s="21" t="s">
        <v>39</v>
      </c>
      <c r="N8" s="35">
        <f t="array" ref="N8">IFERROR(AVERAGE(IF((HOUR($A$3:$A$120)=LEFT($M8,2)*1)*NOT(ISBLANK($A$3:$A$120)),D$3:D$120,"")),"-")</f>
        <v>132.33333333333334</v>
      </c>
      <c r="O8" s="35">
        <f t="array" ref="O8">IFERROR(AVERAGE(IF((HOUR($A$3:$A$120)=LEFT($M8,2)*1)*NOT(ISBLANK($A$3:$A$120)),E$3:E$120,"")),"-")</f>
        <v>90</v>
      </c>
      <c r="P8" s="35">
        <f t="array" ref="P8">IFERROR(AVERAGE(IF((HOUR($A$3:$A$120)=LEFT($M8,2)*1)*NOT(ISBLANK($A$3:$A$120)),F$3:F$120,"")),"-")</f>
        <v>104</v>
      </c>
      <c r="Q8" s="36">
        <f t="array" ref="Q8">IFERROR(AVERAGE(IF((HOUR($A$3:$A$120)=LEFT($M8,2)*1)*NOT(ISBLANK($A$3:$A$120)),G$3:G$120,"")),"-")</f>
        <v>80.666666666666671</v>
      </c>
      <c r="S8" s="45" t="s">
        <v>17</v>
      </c>
      <c r="T8" s="60">
        <f>STDEV(D50:D65)</f>
        <v>7.6811457478686078</v>
      </c>
      <c r="U8" s="61">
        <f t="shared" ref="U8:W8" si="6">STDEV(E50:E65)</f>
        <v>6.4829905650607476</v>
      </c>
      <c r="V8" s="61">
        <f t="shared" si="6"/>
        <v>6.3337719146387537</v>
      </c>
      <c r="W8" s="62">
        <f t="shared" si="6"/>
        <v>2.895398648430529</v>
      </c>
    </row>
    <row r="9" spans="1:23">
      <c r="A9" s="47">
        <v>0.44375000000000003</v>
      </c>
      <c r="B9" s="7">
        <f t="shared" si="1"/>
        <v>15.000000000000027</v>
      </c>
      <c r="D9" s="51">
        <v>115</v>
      </c>
      <c r="E9" s="51">
        <v>80</v>
      </c>
      <c r="F9" s="51">
        <v>92</v>
      </c>
      <c r="G9" s="51">
        <v>95</v>
      </c>
      <c r="H9" s="31">
        <f t="shared" si="2"/>
        <v>30.000000000000053</v>
      </c>
      <c r="I9" s="32">
        <f t="shared" si="0"/>
        <v>30.000000000000053</v>
      </c>
      <c r="J9" s="32">
        <f t="shared" si="0"/>
        <v>30.000000000000053</v>
      </c>
      <c r="K9" s="30">
        <f t="shared" si="0"/>
        <v>105.00000000000018</v>
      </c>
      <c r="M9" s="21" t="s">
        <v>40</v>
      </c>
      <c r="N9" s="35">
        <f t="array" ref="N9">IFERROR(AVERAGE(IF((HOUR($A$3:$A$120)=LEFT($M9,2)*1)*NOT(ISBLANK($A$3:$A$120)),D$3:D$120,"")),"-")</f>
        <v>129.75</v>
      </c>
      <c r="O9" s="35">
        <f t="array" ref="O9">IFERROR(AVERAGE(IF((HOUR($A$3:$A$120)=LEFT($M9,2)*1)*NOT(ISBLANK($A$3:$A$120)),E$3:E$120,"")),"-")</f>
        <v>84.75</v>
      </c>
      <c r="P9" s="35">
        <f t="array" ref="P9">IFERROR(AVERAGE(IF((HOUR($A$3:$A$120)=LEFT($M9,2)*1)*NOT(ISBLANK($A$3:$A$120)),F$3:F$120,"")),"-")</f>
        <v>99.75</v>
      </c>
      <c r="Q9" s="36">
        <f t="array" ref="Q9">IFERROR(AVERAGE(IF((HOUR($A$3:$A$120)=LEFT($M9,2)*1)*NOT(ISBLANK($A$3:$A$120)),G$3:G$120,"")),"-")</f>
        <v>81</v>
      </c>
      <c r="S9" s="25"/>
      <c r="T9" s="63" t="s">
        <v>18</v>
      </c>
      <c r="U9" s="64">
        <f>24*(V1-T1+((V1-T1)&lt;0))</f>
        <v>8</v>
      </c>
      <c r="V9" s="63" t="s">
        <v>19</v>
      </c>
      <c r="W9" s="65">
        <f>24-U9</f>
        <v>16</v>
      </c>
    </row>
    <row r="10" spans="1:23">
      <c r="A10" s="47">
        <v>0.45416666666666666</v>
      </c>
      <c r="B10" s="7">
        <f t="shared" si="1"/>
        <v>14.999999999999947</v>
      </c>
      <c r="D10" s="51">
        <v>128</v>
      </c>
      <c r="E10" s="51">
        <v>80</v>
      </c>
      <c r="F10" s="51">
        <v>96</v>
      </c>
      <c r="G10" s="51">
        <v>96</v>
      </c>
      <c r="H10" s="31">
        <f t="shared" si="2"/>
        <v>194.99999999999932</v>
      </c>
      <c r="I10" s="32">
        <f t="shared" si="0"/>
        <v>0</v>
      </c>
      <c r="J10" s="32">
        <f t="shared" si="0"/>
        <v>59.999999999999787</v>
      </c>
      <c r="K10" s="30">
        <f t="shared" si="0"/>
        <v>14.999999999999947</v>
      </c>
      <c r="M10" s="21" t="s">
        <v>41</v>
      </c>
      <c r="N10" s="35">
        <f t="array" ref="N10">IFERROR(AVERAGE(IF((HOUR($A$3:$A$120)=LEFT($M10,2)*1)*NOT(ISBLANK($A$3:$A$120)),D$3:D$120,"")),"-")</f>
        <v>120</v>
      </c>
      <c r="O10" s="35">
        <f t="array" ref="O10">IFERROR(AVERAGE(IF((HOUR($A$3:$A$120)=LEFT($M10,2)*1)*NOT(ISBLANK($A$3:$A$120)),E$3:E$120,"")),"-")</f>
        <v>83</v>
      </c>
      <c r="P10" s="35">
        <f t="array" ref="P10">IFERROR(AVERAGE(IF((HOUR($A$3:$A$120)=LEFT($M10,2)*1)*NOT(ISBLANK($A$3:$A$120)),F$3:F$120,"")),"-")</f>
        <v>95</v>
      </c>
      <c r="Q10" s="36">
        <f t="array" ref="Q10">IFERROR(AVERAGE(IF((HOUR($A$3:$A$120)=LEFT($M10,2)*1)*NOT(ISBLANK($A$3:$A$120)),G$3:G$120,"")),"-")</f>
        <v>80</v>
      </c>
      <c r="S10" s="53" t="s">
        <v>13</v>
      </c>
      <c r="T10" s="64">
        <f>T4</f>
        <v>14.010152828730403</v>
      </c>
      <c r="U10" s="64">
        <f t="shared" ref="U10:W10" si="7">U4</f>
        <v>11.695076963185208</v>
      </c>
      <c r="V10" s="64">
        <f t="shared" si="7"/>
        <v>12.019496593797028</v>
      </c>
      <c r="W10" s="65">
        <f t="shared" si="7"/>
        <v>13.237731268519131</v>
      </c>
    </row>
    <row r="11" spans="1:23" ht="15.75" thickBot="1">
      <c r="A11" s="47">
        <v>0.47500000000000003</v>
      </c>
      <c r="B11" s="7">
        <f t="shared" si="1"/>
        <v>30.000000000000053</v>
      </c>
      <c r="D11" s="51">
        <v>130</v>
      </c>
      <c r="E11" s="51">
        <v>90</v>
      </c>
      <c r="F11" s="51">
        <v>103</v>
      </c>
      <c r="G11" s="51">
        <v>79</v>
      </c>
      <c r="H11" s="31">
        <f t="shared" si="2"/>
        <v>60.000000000000107</v>
      </c>
      <c r="I11" s="32">
        <f t="shared" si="0"/>
        <v>300.00000000000051</v>
      </c>
      <c r="J11" s="32">
        <f t="shared" si="0"/>
        <v>210.00000000000037</v>
      </c>
      <c r="K11" s="30">
        <f t="shared" si="0"/>
        <v>510.00000000000091</v>
      </c>
      <c r="M11" s="21" t="s">
        <v>42</v>
      </c>
      <c r="N11" s="35">
        <f t="array" ref="N11">IFERROR(AVERAGE(IF((HOUR($A$3:$A$120)=LEFT($M11,2)*1)*NOT(ISBLANK($A$3:$A$120)),D$3:D$120,"")),"-")</f>
        <v>129.5</v>
      </c>
      <c r="O11" s="35">
        <f t="array" ref="O11">IFERROR(AVERAGE(IF((HOUR($A$3:$A$120)=LEFT($M11,2)*1)*NOT(ISBLANK($A$3:$A$120)),E$3:E$120,"")),"-")</f>
        <v>82</v>
      </c>
      <c r="P11" s="35">
        <f t="array" ref="P11">IFERROR(AVERAGE(IF((HOUR($A$3:$A$120)=LEFT($M11,2)*1)*NOT(ISBLANK($A$3:$A$120)),F$3:F$120,"")),"-")</f>
        <v>98</v>
      </c>
      <c r="Q11" s="36">
        <f t="array" ref="Q11">IFERROR(AVERAGE(IF((HOUR($A$3:$A$120)=LEFT($M11,2)*1)*NOT(ISBLANK($A$3:$A$120)),G$3:G$120,"")),"-")</f>
        <v>84.5</v>
      </c>
      <c r="S11" s="54" t="s">
        <v>20</v>
      </c>
      <c r="T11" s="61">
        <f>((T6*$W9)+(T8*$U9))/($U9+$W9)</f>
        <v>11.871472612805432</v>
      </c>
      <c r="U11" s="61">
        <f>((U6*$W9)+(U8*$U9))/($U9+$W9)</f>
        <v>9.8720081368889652</v>
      </c>
      <c r="V11" s="61">
        <f t="shared" ref="V11" si="8">((V6*$W9)+(V8*$U9))/($U9+$W9)</f>
        <v>10.067410233470865</v>
      </c>
      <c r="W11" s="62">
        <f>((W6*$W9)+(W8*$U9))/($U9+$W9)</f>
        <v>10.659066069451809</v>
      </c>
    </row>
    <row r="12" spans="1:23">
      <c r="A12" s="47">
        <v>0.48541666666666666</v>
      </c>
      <c r="B12" s="7">
        <f t="shared" si="1"/>
        <v>14.999999999999947</v>
      </c>
      <c r="D12" s="51">
        <v>121</v>
      </c>
      <c r="E12" s="51">
        <v>91</v>
      </c>
      <c r="F12" s="51">
        <v>101</v>
      </c>
      <c r="G12" s="51">
        <v>76</v>
      </c>
      <c r="H12" s="31">
        <f t="shared" si="2"/>
        <v>134.99999999999952</v>
      </c>
      <c r="I12" s="32">
        <f t="shared" si="0"/>
        <v>14.999999999999947</v>
      </c>
      <c r="J12" s="32">
        <f t="shared" si="0"/>
        <v>29.999999999999893</v>
      </c>
      <c r="K12" s="30">
        <f t="shared" si="0"/>
        <v>44.999999999999844</v>
      </c>
      <c r="M12" s="21" t="s">
        <v>43</v>
      </c>
      <c r="N12" s="35">
        <f t="array" ref="N12">IFERROR(AVERAGE(IF((HOUR($A$3:$A$120)=LEFT($M12,2)*1)*NOT(ISBLANK($A$3:$A$120)),D$3:D$120,"")),"-")</f>
        <v>121.5</v>
      </c>
      <c r="O12" s="35">
        <f t="array" ref="O12">IFERROR(AVERAGE(IF((HOUR($A$3:$A$120)=LEFT($M12,2)*1)*NOT(ISBLANK($A$3:$A$120)),E$3:E$120,"")),"-")</f>
        <v>73.75</v>
      </c>
      <c r="P12" s="35">
        <f t="array" ref="P12">IFERROR(AVERAGE(IF((HOUR($A$3:$A$120)=LEFT($M12,2)*1)*NOT(ISBLANK($A$3:$A$120)),F$3:F$120,"")),"-")</f>
        <v>89.75</v>
      </c>
      <c r="Q12" s="36">
        <f t="array" ref="Q12">IFERROR(AVERAGE(IF((HOUR($A$3:$A$120)=LEFT($M12,2)*1)*NOT(ISBLANK($A$3:$A$120)),G$3:G$120,"")),"-")</f>
        <v>81.25</v>
      </c>
      <c r="S12" s="53" t="s">
        <v>21</v>
      </c>
      <c r="T12" s="64">
        <f>SUM(B4:B106)</f>
        <v>1417.0000000000005</v>
      </c>
      <c r="U12" s="66"/>
      <c r="V12" s="66"/>
      <c r="W12" s="67"/>
    </row>
    <row r="13" spans="1:23" ht="15.75" thickBot="1">
      <c r="A13" s="47">
        <v>0.51666666666666672</v>
      </c>
      <c r="B13" s="7">
        <f t="shared" si="1"/>
        <v>45.000000000000078</v>
      </c>
      <c r="D13" s="51">
        <v>133</v>
      </c>
      <c r="E13" s="51">
        <v>91</v>
      </c>
      <c r="F13" s="51">
        <v>105</v>
      </c>
      <c r="G13" s="51">
        <v>81</v>
      </c>
      <c r="H13" s="31">
        <f t="shared" si="2"/>
        <v>540.00000000000091</v>
      </c>
      <c r="I13" s="32">
        <f t="shared" si="0"/>
        <v>0</v>
      </c>
      <c r="J13" s="32">
        <f t="shared" si="0"/>
        <v>180.00000000000031</v>
      </c>
      <c r="K13" s="30">
        <f t="shared" si="0"/>
        <v>225.0000000000004</v>
      </c>
      <c r="M13" s="21" t="s">
        <v>44</v>
      </c>
      <c r="N13" s="35">
        <f t="array" ref="N13">IFERROR(AVERAGE(IF((HOUR($A$3:$A$120)=LEFT($M13,2)*1)*NOT(ISBLANK($A$3:$A$120)),D$3:D$120,"")),"-")</f>
        <v>123.75</v>
      </c>
      <c r="O13" s="35">
        <f t="array" ref="O13">IFERROR(AVERAGE(IF((HOUR($A$3:$A$120)=LEFT($M13,2)*1)*NOT(ISBLANK($A$3:$A$120)),E$3:E$120,"")),"-")</f>
        <v>77.5</v>
      </c>
      <c r="P13" s="35">
        <f t="array" ref="P13">IFERROR(AVERAGE(IF((HOUR($A$3:$A$120)=LEFT($M13,2)*1)*NOT(ISBLANK($A$3:$A$120)),F$3:F$120,"")),"-")</f>
        <v>93</v>
      </c>
      <c r="Q13" s="36">
        <f t="array" ref="Q13">IFERROR(AVERAGE(IF((HOUR($A$3:$A$120)=LEFT($M13,2)*1)*NOT(ISBLANK($A$3:$A$120)),G$3:G$120,"")),"-")</f>
        <v>94</v>
      </c>
      <c r="S13" s="54" t="s">
        <v>22</v>
      </c>
      <c r="T13" s="61">
        <f>SUM(H4:H106)/$T12</f>
        <v>8.980945659844739</v>
      </c>
      <c r="U13" s="61">
        <f>SUM(I4:I106)/$T12</f>
        <v>7.9329569513055711</v>
      </c>
      <c r="V13" s="61">
        <f>SUM(J4:J106)/$T12</f>
        <v>7.7642907551164395</v>
      </c>
      <c r="W13" s="62">
        <f>SUM(K4:K106)/$T12</f>
        <v>6.3105151729004971</v>
      </c>
    </row>
    <row r="14" spans="1:23" ht="15.75" thickBot="1">
      <c r="A14" s="47">
        <v>0.52708333333333335</v>
      </c>
      <c r="B14" s="7">
        <f t="shared" si="1"/>
        <v>14.999999999999947</v>
      </c>
      <c r="D14" s="51">
        <v>116</v>
      </c>
      <c r="E14" s="51">
        <v>86</v>
      </c>
      <c r="F14" s="51">
        <v>96</v>
      </c>
      <c r="G14" s="51">
        <v>81</v>
      </c>
      <c r="H14" s="31">
        <f t="shared" si="2"/>
        <v>254.99999999999909</v>
      </c>
      <c r="I14" s="32">
        <f t="shared" si="0"/>
        <v>74.99999999999973</v>
      </c>
      <c r="J14" s="32">
        <f t="shared" si="0"/>
        <v>134.99999999999952</v>
      </c>
      <c r="K14" s="30">
        <f t="shared" si="0"/>
        <v>0</v>
      </c>
      <c r="M14" s="21" t="s">
        <v>45</v>
      </c>
      <c r="N14" s="35">
        <f t="array" ref="N14">IFERROR(AVERAGE(IF((HOUR($A$3:$A$120)=LEFT($M14,2)*1)*NOT(ISBLANK($A$3:$A$120)),D$3:D$120,"")),"-")</f>
        <v>118.33333333333333</v>
      </c>
      <c r="O14" s="35">
        <f t="array" ref="O14">IFERROR(AVERAGE(IF((HOUR($A$3:$A$120)=LEFT($M14,2)*1)*NOT(ISBLANK($A$3:$A$120)),E$3:E$120,"")),"-")</f>
        <v>78</v>
      </c>
      <c r="P14" s="35">
        <f t="array" ref="P14">IFERROR(AVERAGE(IF((HOUR($A$3:$A$120)=LEFT($M14,2)*1)*NOT(ISBLANK($A$3:$A$120)),F$3:F$120,"")),"-")</f>
        <v>91.666666666666671</v>
      </c>
      <c r="Q14" s="36">
        <f t="array" ref="Q14">IFERROR(AVERAGE(IF((HOUR($A$3:$A$120)=LEFT($M14,2)*1)*NOT(ISBLANK($A$3:$A$120)),G$3:G$120,"")),"-")</f>
        <v>88.333333333333329</v>
      </c>
      <c r="T14" s="27"/>
      <c r="U14" s="27"/>
      <c r="V14" s="27"/>
      <c r="W14" s="27"/>
    </row>
    <row r="15" spans="1:23">
      <c r="A15" s="47">
        <v>0.53749999999999998</v>
      </c>
      <c r="B15" s="7">
        <f t="shared" si="1"/>
        <v>14.999999999999947</v>
      </c>
      <c r="D15" s="51">
        <v>148</v>
      </c>
      <c r="E15" s="51">
        <v>93</v>
      </c>
      <c r="F15" s="51">
        <v>111</v>
      </c>
      <c r="G15" s="51">
        <v>80</v>
      </c>
      <c r="H15" s="31">
        <f t="shared" si="2"/>
        <v>479.99999999999829</v>
      </c>
      <c r="I15" s="32">
        <f t="shared" si="0"/>
        <v>104.99999999999963</v>
      </c>
      <c r="J15" s="32">
        <f t="shared" si="0"/>
        <v>224.9999999999992</v>
      </c>
      <c r="K15" s="30">
        <f t="shared" si="0"/>
        <v>14.999999999999947</v>
      </c>
      <c r="M15" s="21" t="s">
        <v>46</v>
      </c>
      <c r="N15" s="35">
        <f t="array" ref="N15">IFERROR(AVERAGE(IF((HOUR($A$3:$A$120)=LEFT($M15,2)*1)*NOT(ISBLANK($A$3:$A$120)),D$3:D$120,"")),"-")</f>
        <v>112.25</v>
      </c>
      <c r="O15" s="35">
        <f t="array" ref="O15">IFERROR(AVERAGE(IF((HOUR($A$3:$A$120)=LEFT($M15,2)*1)*NOT(ISBLANK($A$3:$A$120)),E$3:E$120,"")),"-")</f>
        <v>76.5</v>
      </c>
      <c r="P15" s="35">
        <f t="array" ref="P15">IFERROR(AVERAGE(IF((HOUR($A$3:$A$120)=LEFT($M15,2)*1)*NOT(ISBLANK($A$3:$A$120)),F$3:F$120,"")),"-")</f>
        <v>88.5</v>
      </c>
      <c r="Q15" s="36">
        <f t="array" ref="Q15">IFERROR(AVERAGE(IF((HOUR($A$3:$A$120)=LEFT($M15,2)*1)*NOT(ISBLANK($A$3:$A$120)),G$3:G$120,"")),"-")</f>
        <v>83.5</v>
      </c>
      <c r="S15" s="153" t="s">
        <v>23</v>
      </c>
      <c r="T15" s="68" t="s">
        <v>24</v>
      </c>
      <c r="U15" s="69">
        <f>COUNTIFS(D3:D107,"&gt;130")/COUNT(D3:D107)</f>
        <v>0.15151515151515152</v>
      </c>
      <c r="V15" s="70" t="s">
        <v>25</v>
      </c>
      <c r="W15" s="71">
        <f>COUNTIFS(E3:E106,"&gt;80")/COUNT(E3:E107)</f>
        <v>0.34848484848484851</v>
      </c>
    </row>
    <row r="16" spans="1:23" ht="15" customHeight="1">
      <c r="A16" s="47">
        <v>0.54791666666666672</v>
      </c>
      <c r="B16" s="7">
        <f t="shared" si="1"/>
        <v>15.000000000000107</v>
      </c>
      <c r="D16" s="51">
        <v>126</v>
      </c>
      <c r="E16" s="51">
        <v>88</v>
      </c>
      <c r="F16" s="51">
        <v>101</v>
      </c>
      <c r="G16" s="51">
        <v>74</v>
      </c>
      <c r="H16" s="31">
        <f t="shared" si="2"/>
        <v>330.00000000000233</v>
      </c>
      <c r="I16" s="32">
        <f t="shared" si="0"/>
        <v>75.00000000000054</v>
      </c>
      <c r="J16" s="32">
        <f t="shared" si="0"/>
        <v>150.00000000000108</v>
      </c>
      <c r="K16" s="30">
        <f t="shared" si="0"/>
        <v>90.000000000000639</v>
      </c>
      <c r="M16" s="21" t="s">
        <v>47</v>
      </c>
      <c r="N16" s="35">
        <f t="array" ref="N16">IFERROR(AVERAGE(IF((HOUR($A$3:$A$120)=LEFT($M16,2)*1)*NOT(ISBLANK($A$3:$A$120)),D$3:D$120,"")),"-")</f>
        <v>110.75</v>
      </c>
      <c r="O16" s="35">
        <f t="array" ref="O16">IFERROR(AVERAGE(IF((HOUR($A$3:$A$120)=LEFT($M16,2)*1)*NOT(ISBLANK($A$3:$A$120)),E$3:E$120,"")),"-")</f>
        <v>74.5</v>
      </c>
      <c r="P16" s="35">
        <f t="array" ref="P16">IFERROR(AVERAGE(IF((HOUR($A$3:$A$120)=LEFT($M16,2)*1)*NOT(ISBLANK($A$3:$A$120)),F$3:F$120,"")),"-")</f>
        <v>86.75</v>
      </c>
      <c r="Q16" s="36">
        <f t="array" ref="Q16">IFERROR(AVERAGE(IF((HOUR($A$3:$A$120)=LEFT($M16,2)*1)*NOT(ISBLANK($A$3:$A$120)),G$3:G$120,"")),"-")</f>
        <v>85.5</v>
      </c>
      <c r="S16" s="154"/>
      <c r="T16" s="72" t="s">
        <v>26</v>
      </c>
      <c r="U16" s="73">
        <f>(COUNTIFS(D3:D49,"&gt;135")+COUNTIFS(D66:D68,"&gt;135"))/COUNT(D3:D49,D66:D68)</f>
        <v>0.08</v>
      </c>
      <c r="V16" s="74" t="s">
        <v>27</v>
      </c>
      <c r="W16" s="75">
        <f>(COUNTIFS(E3:E49,"&gt;85")+COUNTIFS(E66:E68,"&gt;85"))/COUNT(E3:E49,E66:E68)</f>
        <v>0.36</v>
      </c>
    </row>
    <row r="17" spans="1:23" ht="15.75" thickBot="1">
      <c r="A17" s="47">
        <v>0.55833333333333335</v>
      </c>
      <c r="B17" s="7">
        <f t="shared" si="1"/>
        <v>14.999999999999947</v>
      </c>
      <c r="D17" s="51">
        <v>131</v>
      </c>
      <c r="E17" s="51">
        <v>80</v>
      </c>
      <c r="F17" s="51">
        <v>97</v>
      </c>
      <c r="G17" s="51">
        <v>80</v>
      </c>
      <c r="H17" s="31">
        <f t="shared" si="2"/>
        <v>74.99999999999973</v>
      </c>
      <c r="I17" s="32">
        <f t="shared" si="0"/>
        <v>119.99999999999957</v>
      </c>
      <c r="J17" s="32">
        <f t="shared" si="0"/>
        <v>59.999999999999787</v>
      </c>
      <c r="K17" s="30">
        <f t="shared" si="0"/>
        <v>89.999999999999687</v>
      </c>
      <c r="M17" s="21" t="s">
        <v>48</v>
      </c>
      <c r="N17" s="35">
        <f t="array" ref="N17">IFERROR(AVERAGE(IF((HOUR($A$3:$A$120)=LEFT($M17,2)*1)*NOT(ISBLANK($A$3:$A$120)),D$3:D$120,"")),"-")</f>
        <v>126.25</v>
      </c>
      <c r="O17" s="35">
        <f t="array" ref="O17">IFERROR(AVERAGE(IF((HOUR($A$3:$A$120)=LEFT($M17,2)*1)*NOT(ISBLANK($A$3:$A$120)),E$3:E$120,"")),"-")</f>
        <v>83.25</v>
      </c>
      <c r="P17" s="35">
        <f t="array" ref="P17">IFERROR(AVERAGE(IF((HOUR($A$3:$A$120)=LEFT($M17,2)*1)*NOT(ISBLANK($A$3:$A$120)),F$3:F$120,"")),"-")</f>
        <v>97.5</v>
      </c>
      <c r="Q17" s="36">
        <f t="array" ref="Q17">IFERROR(AVERAGE(IF((HOUR($A$3:$A$120)=LEFT($M17,2)*1)*NOT(ISBLANK($A$3:$A$120)),G$3:G$120,"")),"-")</f>
        <v>90.5</v>
      </c>
      <c r="S17" s="155"/>
      <c r="T17" s="76" t="s">
        <v>28</v>
      </c>
      <c r="U17" s="77">
        <f>COUNTIFS(D50:D65,"&gt;120")/COUNT(D50:D65)</f>
        <v>0</v>
      </c>
      <c r="V17" s="78" t="s">
        <v>29</v>
      </c>
      <c r="W17" s="79">
        <f>COUNTIFS(E50:E65,"&gt;70")/COUNT(E50:E65)</f>
        <v>6.25E-2</v>
      </c>
    </row>
    <row r="18" spans="1:23">
      <c r="A18" s="47">
        <v>0.56874999999999998</v>
      </c>
      <c r="B18" s="7">
        <f t="shared" si="1"/>
        <v>14.999999999999947</v>
      </c>
      <c r="D18" s="51">
        <v>141</v>
      </c>
      <c r="E18" s="51">
        <v>93</v>
      </c>
      <c r="F18" s="51">
        <v>109</v>
      </c>
      <c r="G18" s="51">
        <v>86</v>
      </c>
      <c r="H18" s="31">
        <f t="shared" si="2"/>
        <v>149.99999999999946</v>
      </c>
      <c r="I18" s="32">
        <f t="shared" si="0"/>
        <v>194.99999999999932</v>
      </c>
      <c r="J18" s="32">
        <f t="shared" si="0"/>
        <v>179.99999999999937</v>
      </c>
      <c r="K18" s="30">
        <f t="shared" si="0"/>
        <v>89.999999999999687</v>
      </c>
      <c r="M18" s="21" t="s">
        <v>49</v>
      </c>
      <c r="N18" s="35">
        <f t="array" ref="N18">IFERROR(AVERAGE(IF((HOUR($A$3:$A$120)=LEFT($M18,2)*1)*NOT(ISBLANK($A$3:$A$120)),D$3:D$120,"")),"-")</f>
        <v>118.5</v>
      </c>
      <c r="O18" s="35">
        <f t="array" ref="O18">IFERROR(AVERAGE(IF((HOUR($A$3:$A$120)=LEFT($M18,2)*1)*NOT(ISBLANK($A$3:$A$120)),E$3:E$120,"")),"-")</f>
        <v>88</v>
      </c>
      <c r="P18" s="35">
        <f t="array" ref="P18">IFERROR(AVERAGE(IF((HOUR($A$3:$A$120)=LEFT($M18,2)*1)*NOT(ISBLANK($A$3:$A$120)),F$3:F$120,"")),"-")</f>
        <v>98.5</v>
      </c>
      <c r="Q18" s="36">
        <f t="array" ref="Q18">IFERROR(AVERAGE(IF((HOUR($A$3:$A$120)=LEFT($M18,2)*1)*NOT(ISBLANK($A$3:$A$120)),G$3:G$120,"")),"-")</f>
        <v>84</v>
      </c>
      <c r="S18" s="80" t="s">
        <v>30</v>
      </c>
      <c r="T18" s="81" t="s">
        <v>6</v>
      </c>
      <c r="U18" s="58">
        <f>(T5-T7)/T5</f>
        <v>0.16930379746835442</v>
      </c>
      <c r="V18" s="82" t="s">
        <v>7</v>
      </c>
      <c r="W18" s="59">
        <f>(U5-U7)/U5</f>
        <v>0.20518867924528303</v>
      </c>
    </row>
    <row r="19" spans="1:23" ht="15.75" thickBot="1">
      <c r="A19" s="47">
        <v>0.57916666666666672</v>
      </c>
      <c r="B19" s="7">
        <f t="shared" si="1"/>
        <v>15.000000000000107</v>
      </c>
      <c r="D19" s="51">
        <v>121</v>
      </c>
      <c r="E19" s="52">
        <v>78</v>
      </c>
      <c r="F19" s="52">
        <v>92</v>
      </c>
      <c r="G19" s="52">
        <v>84</v>
      </c>
      <c r="H19" s="31">
        <f t="shared" si="2"/>
        <v>300.00000000000216</v>
      </c>
      <c r="I19" s="32">
        <f t="shared" si="0"/>
        <v>225.00000000000159</v>
      </c>
      <c r="J19" s="32">
        <f t="shared" si="0"/>
        <v>255.00000000000182</v>
      </c>
      <c r="K19" s="30">
        <f t="shared" si="0"/>
        <v>30.000000000000213</v>
      </c>
      <c r="M19" s="21" t="s">
        <v>50</v>
      </c>
      <c r="N19" s="35">
        <f t="array" ref="N19">IFERROR(AVERAGE(IF((HOUR($A$3:$A$120)=LEFT($M19,2)*1)*NOT(ISBLANK($A$3:$A$120)),D$3:D$120,"")),"-")</f>
        <v>90</v>
      </c>
      <c r="O19" s="35">
        <f t="array" ref="O19">IFERROR(AVERAGE(IF((HOUR($A$3:$A$120)=LEFT($M19,2)*1)*NOT(ISBLANK($A$3:$A$120)),E$3:E$120,"")),"-")</f>
        <v>48.5</v>
      </c>
      <c r="P19" s="35">
        <f t="array" ref="P19">IFERROR(AVERAGE(IF((HOUR($A$3:$A$120)=LEFT($M19,2)*1)*NOT(ISBLANK($A$3:$A$120)),F$3:F$120,"")),"-")</f>
        <v>62.5</v>
      </c>
      <c r="Q19" s="36">
        <f t="array" ref="Q19">IFERROR(AVERAGE(IF((HOUR($A$3:$A$120)=LEFT($M19,2)*1)*NOT(ISBLANK($A$3:$A$120)),G$3:G$120,"")),"-")</f>
        <v>74.5</v>
      </c>
      <c r="S19" s="83" t="s">
        <v>31</v>
      </c>
      <c r="T19" s="84" t="s">
        <v>6</v>
      </c>
      <c r="U19" s="61">
        <f>U18*100</f>
        <v>16.930379746835442</v>
      </c>
      <c r="V19" s="85" t="s">
        <v>7</v>
      </c>
      <c r="W19" s="62">
        <f>W18*100</f>
        <v>20.518867924528301</v>
      </c>
    </row>
    <row r="20" spans="1:23" ht="15.75" thickBot="1">
      <c r="A20" s="47">
        <v>0.58958333333333335</v>
      </c>
      <c r="B20" s="7">
        <f t="shared" si="1"/>
        <v>14.999999999999947</v>
      </c>
      <c r="D20" s="51">
        <v>120</v>
      </c>
      <c r="E20" s="52">
        <v>83</v>
      </c>
      <c r="F20" s="52">
        <v>95</v>
      </c>
      <c r="G20" s="52">
        <v>80</v>
      </c>
      <c r="H20" s="31">
        <f t="shared" si="2"/>
        <v>14.999999999999947</v>
      </c>
      <c r="I20" s="32">
        <f t="shared" si="2"/>
        <v>74.99999999999973</v>
      </c>
      <c r="J20" s="32">
        <f t="shared" si="2"/>
        <v>44.999999999999844</v>
      </c>
      <c r="K20" s="30">
        <f t="shared" si="2"/>
        <v>59.999999999999787</v>
      </c>
      <c r="M20" s="21" t="s">
        <v>51</v>
      </c>
      <c r="N20" s="35">
        <f t="array" ref="N20">IFERROR(AVERAGE(IF((HOUR($A$3:$A$120)=LEFT($M20,2)*1)*NOT(ISBLANK($A$3:$A$120)),D$3:D$120,"")),"-")</f>
        <v>95</v>
      </c>
      <c r="O20" s="35">
        <f t="array" ref="O20">IFERROR(AVERAGE(IF((HOUR($A$3:$A$120)=LEFT($M20,2)*1)*NOT(ISBLANK($A$3:$A$120)),E$3:E$120,"")),"-")</f>
        <v>64</v>
      </c>
      <c r="P20" s="35">
        <f t="array" ref="P20">IFERROR(AVERAGE(IF((HOUR($A$3:$A$120)=LEFT($M20,2)*1)*NOT(ISBLANK($A$3:$A$120)),F$3:F$120,"")),"-")</f>
        <v>74.5</v>
      </c>
      <c r="Q20" s="36">
        <f t="array" ref="Q20">IFERROR(AVERAGE(IF((HOUR($A$3:$A$120)=LEFT($M20,2)*1)*NOT(ISBLANK($A$3:$A$120)),G$3:G$120,"")),"-")</f>
        <v>67</v>
      </c>
      <c r="S20" s="86" t="s">
        <v>32</v>
      </c>
      <c r="T20" s="87" t="s">
        <v>6</v>
      </c>
      <c r="U20" s="88">
        <f>(N28+N27)/2-N23</f>
        <v>14.25</v>
      </c>
      <c r="V20" s="87" t="s">
        <v>7</v>
      </c>
      <c r="W20" s="89">
        <f>(O28+O27)/2-O23</f>
        <v>10.666666666666657</v>
      </c>
    </row>
    <row r="21" spans="1:23" ht="15.75" thickBot="1">
      <c r="A21" s="47">
        <v>0.63124999999999998</v>
      </c>
      <c r="B21" s="7">
        <f t="shared" si="1"/>
        <v>59.999999999999943</v>
      </c>
      <c r="D21" s="51">
        <v>131</v>
      </c>
      <c r="E21" s="52">
        <v>86</v>
      </c>
      <c r="F21" s="52">
        <v>101</v>
      </c>
      <c r="G21" s="52">
        <v>89</v>
      </c>
      <c r="H21" s="31">
        <f t="shared" si="2"/>
        <v>659.99999999999932</v>
      </c>
      <c r="I21" s="32">
        <f t="shared" si="2"/>
        <v>179.99999999999983</v>
      </c>
      <c r="J21" s="32">
        <f t="shared" si="2"/>
        <v>359.99999999999966</v>
      </c>
      <c r="K21" s="30">
        <f t="shared" si="2"/>
        <v>539.99999999999955</v>
      </c>
      <c r="M21" s="21" t="s">
        <v>52</v>
      </c>
      <c r="N21" s="35">
        <f t="array" ref="N21">IFERROR(AVERAGE(IF((HOUR($A$3:$A$120)=LEFT($M21,2)*1)*NOT(ISBLANK($A$3:$A$120)),D$3:D$120,"")),"-")</f>
        <v>106.5</v>
      </c>
      <c r="O21" s="35">
        <f t="array" ref="O21">IFERROR(AVERAGE(IF((HOUR($A$3:$A$120)=LEFT($M21,2)*1)*NOT(ISBLANK($A$3:$A$120)),E$3:E$120,"")),"-")</f>
        <v>66</v>
      </c>
      <c r="P21" s="35">
        <f t="array" ref="P21">IFERROR(AVERAGE(IF((HOUR($A$3:$A$120)=LEFT($M21,2)*1)*NOT(ISBLANK($A$3:$A$120)),F$3:F$120,"")),"-")</f>
        <v>79.5</v>
      </c>
      <c r="Q21" s="36">
        <f t="array" ref="Q21">IFERROR(AVERAGE(IF((HOUR($A$3:$A$120)=LEFT($M21,2)*1)*NOT(ISBLANK($A$3:$A$120)),G$3:G$120,"")),"-")</f>
        <v>63.5</v>
      </c>
      <c r="S21" s="86" t="s">
        <v>33</v>
      </c>
      <c r="T21" s="88">
        <f>1-0.7098</f>
        <v>0.29020000000000001</v>
      </c>
      <c r="U21" s="90"/>
      <c r="V21" s="90"/>
      <c r="W21" s="91"/>
    </row>
    <row r="22" spans="1:23">
      <c r="A22" s="47">
        <v>0.66249999999999998</v>
      </c>
      <c r="B22" s="7">
        <f t="shared" si="1"/>
        <v>45</v>
      </c>
      <c r="D22" s="51">
        <v>128</v>
      </c>
      <c r="E22" s="52">
        <v>78</v>
      </c>
      <c r="F22" s="52">
        <v>95</v>
      </c>
      <c r="G22" s="52">
        <v>80</v>
      </c>
      <c r="H22" s="31">
        <f t="shared" si="2"/>
        <v>135</v>
      </c>
      <c r="I22" s="32">
        <f t="shared" si="2"/>
        <v>360</v>
      </c>
      <c r="J22" s="32">
        <f t="shared" si="2"/>
        <v>270</v>
      </c>
      <c r="K22" s="30">
        <f t="shared" si="2"/>
        <v>405</v>
      </c>
      <c r="M22" s="21" t="s">
        <v>53</v>
      </c>
      <c r="N22" s="35">
        <f t="array" ref="N22">IFERROR(AVERAGE(IF((HOUR($A$3:$A$120)=LEFT($M22,2)*1)*NOT(ISBLANK($A$3:$A$120)),D$3:D$120,"")),"-")</f>
        <v>99</v>
      </c>
      <c r="O22" s="35">
        <f t="array" ref="O22">IFERROR(AVERAGE(IF((HOUR($A$3:$A$120)=LEFT($M22,2)*1)*NOT(ISBLANK($A$3:$A$120)),E$3:E$120,"")),"-")</f>
        <v>62</v>
      </c>
      <c r="P22" s="35">
        <f t="array" ref="P22">IFERROR(AVERAGE(IF((HOUR($A$3:$A$120)=LEFT($M22,2)*1)*NOT(ISBLANK($A$3:$A$120)),F$3:F$120,"")),"-")</f>
        <v>74.5</v>
      </c>
      <c r="Q22" s="36">
        <f t="array" ref="Q22">IFERROR(AVERAGE(IF((HOUR($A$3:$A$120)=LEFT($M22,2)*1)*NOT(ISBLANK($A$3:$A$120)),G$3:G$120,"")),"-")</f>
        <v>65</v>
      </c>
    </row>
    <row r="23" spans="1:23">
      <c r="A23" s="47">
        <v>0.67291666666666661</v>
      </c>
      <c r="B23" s="7">
        <f t="shared" si="1"/>
        <v>14.999999999999947</v>
      </c>
      <c r="D23" s="51">
        <v>136</v>
      </c>
      <c r="E23" s="52">
        <v>73</v>
      </c>
      <c r="F23" s="52">
        <v>94</v>
      </c>
      <c r="G23" s="52">
        <v>92</v>
      </c>
      <c r="H23" s="31">
        <f t="shared" si="2"/>
        <v>119.99999999999957</v>
      </c>
      <c r="I23" s="32">
        <f t="shared" si="2"/>
        <v>74.99999999999973</v>
      </c>
      <c r="J23" s="32">
        <f t="shared" si="2"/>
        <v>14.999999999999947</v>
      </c>
      <c r="K23" s="30">
        <f t="shared" si="2"/>
        <v>179.99999999999937</v>
      </c>
      <c r="M23" s="21" t="s">
        <v>54</v>
      </c>
      <c r="N23" s="35">
        <f t="array" ref="N23">IFERROR(AVERAGE(IF((HOUR($A$3:$A$120)=LEFT($M23,2)*1)*NOT(ISBLANK($A$3:$A$120)),D$3:D$120,"")),"-")</f>
        <v>90.5</v>
      </c>
      <c r="O23" s="35">
        <f t="array" ref="O23">IFERROR(AVERAGE(IF((HOUR($A$3:$A$120)=LEFT($M23,2)*1)*NOT(ISBLANK($A$3:$A$120)),E$3:E$120,"")),"-")</f>
        <v>56</v>
      </c>
      <c r="P23" s="35">
        <f t="array" ref="P23">IFERROR(AVERAGE(IF((HOUR($A$3:$A$120)=LEFT($M23,2)*1)*NOT(ISBLANK($A$3:$A$120)),F$3:F$120,"")),"-")</f>
        <v>67.5</v>
      </c>
      <c r="Q23" s="36">
        <f t="array" ref="Q23">IFERROR(AVERAGE(IF((HOUR($A$3:$A$120)=LEFT($M23,2)*1)*NOT(ISBLANK($A$3:$A$120)),G$3:G$120,"")),"-")</f>
        <v>64.5</v>
      </c>
    </row>
    <row r="24" spans="1:23">
      <c r="A24" s="47">
        <v>0.68333333333333324</v>
      </c>
      <c r="B24" s="7">
        <f t="shared" si="1"/>
        <v>14.999999999999947</v>
      </c>
      <c r="D24" s="51">
        <v>117</v>
      </c>
      <c r="E24" s="52">
        <v>75</v>
      </c>
      <c r="F24" s="52">
        <v>89</v>
      </c>
      <c r="G24" s="52">
        <v>80</v>
      </c>
      <c r="H24" s="31">
        <f t="shared" si="2"/>
        <v>284.99999999999898</v>
      </c>
      <c r="I24" s="32">
        <f t="shared" si="2"/>
        <v>29.999999999999893</v>
      </c>
      <c r="J24" s="32">
        <f t="shared" si="2"/>
        <v>74.99999999999973</v>
      </c>
      <c r="K24" s="30">
        <f t="shared" si="2"/>
        <v>179.99999999999937</v>
      </c>
      <c r="M24" s="21" t="s">
        <v>55</v>
      </c>
      <c r="N24" s="35">
        <f t="array" ref="N24">IFERROR(AVERAGE(IF((HOUR($A$3:$A$120)=LEFT($M24,2)*1)*NOT(ISBLANK($A$3:$A$120)),D$3:D$120,"")),"-")</f>
        <v>111</v>
      </c>
      <c r="O24" s="35">
        <f t="array" ref="O24">IFERROR(AVERAGE(IF((HOUR($A$3:$A$120)=LEFT($M24,2)*1)*NOT(ISBLANK($A$3:$A$120)),E$3:E$120,"")),"-")</f>
        <v>67</v>
      </c>
      <c r="P24" s="35">
        <f t="array" ref="P24">IFERROR(AVERAGE(IF((HOUR($A$3:$A$120)=LEFT($M24,2)*1)*NOT(ISBLANK($A$3:$A$120)),F$3:F$120,"")),"-")</f>
        <v>81.5</v>
      </c>
      <c r="Q24" s="36">
        <f t="array" ref="Q24">IFERROR(AVERAGE(IF((HOUR($A$3:$A$120)=LEFT($M24,2)*1)*NOT(ISBLANK($A$3:$A$120)),G$3:G$120,"")),"-")</f>
        <v>63</v>
      </c>
    </row>
    <row r="25" spans="1:23">
      <c r="A25" s="47">
        <v>0.69374999999999998</v>
      </c>
      <c r="B25" s="7">
        <f t="shared" si="1"/>
        <v>15.000000000000107</v>
      </c>
      <c r="D25" s="51">
        <v>117</v>
      </c>
      <c r="E25" s="52">
        <v>72</v>
      </c>
      <c r="F25" s="52">
        <v>87</v>
      </c>
      <c r="G25" s="52">
        <v>78</v>
      </c>
      <c r="H25" s="31">
        <f t="shared" si="2"/>
        <v>0</v>
      </c>
      <c r="I25" s="32">
        <f t="shared" si="2"/>
        <v>45.00000000000032</v>
      </c>
      <c r="J25" s="32">
        <f t="shared" si="2"/>
        <v>30.000000000000213</v>
      </c>
      <c r="K25" s="30">
        <f t="shared" si="2"/>
        <v>30.000000000000213</v>
      </c>
      <c r="M25" s="21" t="s">
        <v>56</v>
      </c>
      <c r="N25" s="35">
        <f t="array" ref="N25">IFERROR(AVERAGE(IF((HOUR($A$3:$A$120)=LEFT($M25,2)*1)*NOT(ISBLANK($A$3:$A$120)),D$3:D$120,"")),"-")</f>
        <v>101</v>
      </c>
      <c r="O25" s="35">
        <f t="array" ref="O25">IFERROR(AVERAGE(IF((HOUR($A$3:$A$120)=LEFT($M25,2)*1)*NOT(ISBLANK($A$3:$A$120)),E$3:E$120,"")),"-")</f>
        <v>67</v>
      </c>
      <c r="P25" s="35">
        <f t="array" ref="P25">IFERROR(AVERAGE(IF((HOUR($A$3:$A$120)=LEFT($M25,2)*1)*NOT(ISBLANK($A$3:$A$120)),F$3:F$120,"")),"-")</f>
        <v>78.5</v>
      </c>
      <c r="Q25" s="36">
        <f t="array" ref="Q25">IFERROR(AVERAGE(IF((HOUR($A$3:$A$120)=LEFT($M25,2)*1)*NOT(ISBLANK($A$3:$A$120)),G$3:G$120,"")),"-")</f>
        <v>60.5</v>
      </c>
    </row>
    <row r="26" spans="1:23">
      <c r="A26" s="47">
        <v>0.70416666666666661</v>
      </c>
      <c r="B26" s="7">
        <f t="shared" si="1"/>
        <v>14.999999999999947</v>
      </c>
      <c r="D26" s="51">
        <v>116</v>
      </c>
      <c r="E26" s="52">
        <v>75</v>
      </c>
      <c r="F26" s="52">
        <v>89</v>
      </c>
      <c r="G26" s="52">
        <v>75</v>
      </c>
      <c r="H26" s="31">
        <f t="shared" si="2"/>
        <v>14.999999999999947</v>
      </c>
      <c r="I26" s="32">
        <f t="shared" si="2"/>
        <v>44.999999999999844</v>
      </c>
      <c r="J26" s="32">
        <f t="shared" si="2"/>
        <v>29.999999999999893</v>
      </c>
      <c r="K26" s="30">
        <f t="shared" si="2"/>
        <v>44.999999999999844</v>
      </c>
      <c r="M26" s="21" t="s">
        <v>57</v>
      </c>
      <c r="N26" s="35">
        <f t="array" ref="N26">IFERROR(AVERAGE(IF((HOUR($A$30:$A$120)=LEFT($M26,2)*1)*NOT(ISBLANK($A$30:$A$120)),D$30:D$120,"")),"-")</f>
        <v>93.5</v>
      </c>
      <c r="O26" s="35">
        <f t="array" ref="O26">IFERROR(AVERAGE(IF((HOUR($A$30:$A$120)=LEFT($M26,2)*1)*NOT(ISBLANK($A$30:$A$120)),E$30:E$120,"")),"-")</f>
        <v>62.5</v>
      </c>
      <c r="P26" s="35">
        <f t="array" ref="P26">IFERROR(AVERAGE(IF((HOUR($A$30:$A$120)=LEFT($M26,2)*1)*NOT(ISBLANK($A$30:$A$120)),F$30:F$120,"")),"-")</f>
        <v>72.5</v>
      </c>
      <c r="Q26" s="36">
        <f t="array" ref="Q26">IFERROR(AVERAGE(IF((HOUR($A$30:$A$120)=LEFT($M26,2)*1)*NOT(ISBLANK($A$30:$A$120)),G$30:G$120,"")),"-")</f>
        <v>61</v>
      </c>
    </row>
    <row r="27" spans="1:23">
      <c r="A27" s="47">
        <v>0.71458333333333324</v>
      </c>
      <c r="B27" s="7">
        <f t="shared" si="1"/>
        <v>14.999999999999947</v>
      </c>
      <c r="D27" s="51">
        <v>117</v>
      </c>
      <c r="E27" s="52">
        <v>82</v>
      </c>
      <c r="F27" s="52">
        <v>94</v>
      </c>
      <c r="G27" s="52">
        <v>90</v>
      </c>
      <c r="H27" s="31">
        <f t="shared" si="2"/>
        <v>14.999999999999947</v>
      </c>
      <c r="I27" s="32">
        <f t="shared" si="2"/>
        <v>104.99999999999963</v>
      </c>
      <c r="J27" s="32">
        <f t="shared" si="2"/>
        <v>74.99999999999973</v>
      </c>
      <c r="K27" s="30">
        <f t="shared" si="2"/>
        <v>224.9999999999992</v>
      </c>
      <c r="M27" s="21" t="s">
        <v>34</v>
      </c>
      <c r="N27" s="35">
        <f t="array" ref="N27">IFERROR(AVERAGE(IF((HOUR($A$30:$A$120)=LEFT($M27,2)*1)*NOT(ISBLANK($A$30:$A$120)),D$30:D$120,"")),"-")</f>
        <v>109</v>
      </c>
      <c r="O27" s="35">
        <f t="array" ref="O27">IFERROR(AVERAGE(IF((HOUR($A$30:$A$120)=LEFT($M27,2)*1)*NOT(ISBLANK($A$30:$A$120)),E$30:E$120,"")),"-")</f>
        <v>67.333333333333329</v>
      </c>
      <c r="P27" s="35">
        <f t="array" ref="P27">IFERROR(AVERAGE(IF((HOUR($A$30:$A$120)=LEFT($M27,2)*1)*NOT(ISBLANK($A$30:$A$120)),F$30:F$120,"")),"-")</f>
        <v>81.333333333333329</v>
      </c>
      <c r="Q27" s="36">
        <f t="array" ref="Q27">IFERROR(AVERAGE(IF((HOUR($A$30:$A$120)=LEFT($M27,2)*1)*NOT(ISBLANK($A$30:$A$120)),G$30:G$120,"")),"-")</f>
        <v>66.666666666666671</v>
      </c>
    </row>
    <row r="28" spans="1:23" ht="15.75" thickBot="1">
      <c r="A28" s="47">
        <v>0.72499999999999998</v>
      </c>
      <c r="B28" s="7">
        <f t="shared" si="1"/>
        <v>15.000000000000107</v>
      </c>
      <c r="D28" s="51">
        <v>118</v>
      </c>
      <c r="E28" s="52">
        <v>59</v>
      </c>
      <c r="F28" s="52">
        <v>79</v>
      </c>
      <c r="G28" s="52">
        <v>106</v>
      </c>
      <c r="H28" s="31">
        <f t="shared" si="2"/>
        <v>15.000000000000107</v>
      </c>
      <c r="I28" s="32">
        <f t="shared" si="2"/>
        <v>345.00000000000244</v>
      </c>
      <c r="J28" s="32">
        <f t="shared" si="2"/>
        <v>225.00000000000159</v>
      </c>
      <c r="K28" s="30">
        <f t="shared" si="2"/>
        <v>240.00000000000171</v>
      </c>
      <c r="M28" s="29" t="s">
        <v>35</v>
      </c>
      <c r="N28" s="33">
        <f t="array" ref="N28">IFERROR(AVERAGE(IF((HOUR($A$30:$A$120)=LEFT($M28,2)*1)*NOT(ISBLANK($A$30:$A$120)),D$30:D$120,"")),"-")</f>
        <v>100.5</v>
      </c>
      <c r="O28" s="33">
        <f t="array" ref="O28">IFERROR(AVERAGE(IF((HOUR($A$30:$A$120)=LEFT($M28,2)*1)*NOT(ISBLANK($A$30:$A$120)),E$30:E$120,"")),"-")</f>
        <v>66</v>
      </c>
      <c r="P28" s="33">
        <f t="array" ref="P28">IFERROR(AVERAGE(IF((HOUR($A$30:$A$120)=LEFT($M28,2)*1)*NOT(ISBLANK($A$30:$A$120)),F$30:F$120,"")),"-")</f>
        <v>77.5</v>
      </c>
      <c r="Q28" s="34">
        <f t="array" ref="Q28">IFERROR(AVERAGE(IF((HOUR($A$30:$A$120)=LEFT($M28,2)*1)*NOT(ISBLANK($A$30:$A$120)),G$30:G$120,"")),"-")</f>
        <v>110.5</v>
      </c>
    </row>
    <row r="29" spans="1:23">
      <c r="A29" s="47">
        <v>0.73541666666666661</v>
      </c>
      <c r="B29" s="7">
        <f t="shared" si="1"/>
        <v>14.999999999999947</v>
      </c>
      <c r="D29" s="51">
        <v>132</v>
      </c>
      <c r="E29" s="52">
        <v>89</v>
      </c>
      <c r="F29" s="52">
        <v>103</v>
      </c>
      <c r="G29" s="52">
        <v>98</v>
      </c>
      <c r="H29" s="31">
        <f t="shared" si="2"/>
        <v>209.99999999999926</v>
      </c>
      <c r="I29" s="32">
        <f t="shared" si="2"/>
        <v>449.99999999999841</v>
      </c>
      <c r="J29" s="32">
        <f t="shared" si="2"/>
        <v>359.99999999999875</v>
      </c>
      <c r="K29" s="30">
        <f t="shared" si="2"/>
        <v>119.99999999999957</v>
      </c>
    </row>
    <row r="30" spans="1:23">
      <c r="A30" s="47">
        <v>0.74583333333333324</v>
      </c>
      <c r="B30" s="7">
        <f t="shared" si="1"/>
        <v>14.999999999999947</v>
      </c>
      <c r="D30" s="51">
        <v>128</v>
      </c>
      <c r="E30" s="52">
        <v>80</v>
      </c>
      <c r="F30" s="52">
        <v>96</v>
      </c>
      <c r="G30" s="52">
        <v>82</v>
      </c>
      <c r="H30" s="31">
        <f t="shared" si="2"/>
        <v>59.999999999999787</v>
      </c>
      <c r="I30" s="32">
        <f t="shared" si="2"/>
        <v>134.99999999999952</v>
      </c>
      <c r="J30" s="32">
        <f t="shared" si="2"/>
        <v>104.99999999999963</v>
      </c>
      <c r="K30" s="30">
        <f t="shared" si="2"/>
        <v>239.99999999999915</v>
      </c>
    </row>
    <row r="31" spans="1:23">
      <c r="A31" s="47">
        <v>0.75624999999999998</v>
      </c>
      <c r="B31" s="7">
        <f t="shared" si="1"/>
        <v>15.000000000000107</v>
      </c>
      <c r="D31" s="51">
        <v>124</v>
      </c>
      <c r="E31" s="52">
        <v>86</v>
      </c>
      <c r="F31" s="52">
        <v>99</v>
      </c>
      <c r="G31" s="52">
        <v>97</v>
      </c>
      <c r="H31" s="31">
        <f t="shared" si="2"/>
        <v>60.000000000000426</v>
      </c>
      <c r="I31" s="32">
        <f t="shared" si="2"/>
        <v>90.000000000000639</v>
      </c>
      <c r="J31" s="32">
        <f t="shared" si="2"/>
        <v>45.00000000000032</v>
      </c>
      <c r="K31" s="30">
        <f t="shared" si="2"/>
        <v>225.00000000000159</v>
      </c>
    </row>
    <row r="32" spans="1:23">
      <c r="A32" s="47">
        <v>0.77708333333333324</v>
      </c>
      <c r="B32" s="7">
        <f t="shared" si="1"/>
        <v>29.999999999999893</v>
      </c>
      <c r="D32" s="51">
        <v>125</v>
      </c>
      <c r="E32" s="52">
        <v>77</v>
      </c>
      <c r="F32" s="52">
        <v>93</v>
      </c>
      <c r="G32" s="52">
        <v>92</v>
      </c>
      <c r="H32" s="31">
        <f t="shared" si="2"/>
        <v>29.999999999999893</v>
      </c>
      <c r="I32" s="32">
        <f t="shared" si="2"/>
        <v>269.99999999999903</v>
      </c>
      <c r="J32" s="32">
        <f t="shared" si="2"/>
        <v>179.99999999999937</v>
      </c>
      <c r="K32" s="30">
        <f t="shared" si="2"/>
        <v>149.99999999999946</v>
      </c>
    </row>
    <row r="33" spans="1:11">
      <c r="A33" s="47">
        <v>0.78749999999999998</v>
      </c>
      <c r="B33" s="7">
        <f t="shared" si="1"/>
        <v>15.000000000000107</v>
      </c>
      <c r="D33" s="51">
        <v>106</v>
      </c>
      <c r="E33" s="52">
        <v>71</v>
      </c>
      <c r="F33" s="52">
        <v>83</v>
      </c>
      <c r="G33" s="52">
        <v>76</v>
      </c>
      <c r="H33" s="31">
        <f t="shared" si="2"/>
        <v>285.00000000000205</v>
      </c>
      <c r="I33" s="32">
        <f t="shared" si="2"/>
        <v>90.000000000000639</v>
      </c>
      <c r="J33" s="32">
        <f t="shared" si="2"/>
        <v>150.00000000000108</v>
      </c>
      <c r="K33" s="30">
        <f t="shared" si="2"/>
        <v>240.00000000000171</v>
      </c>
    </row>
    <row r="34" spans="1:11">
      <c r="A34" s="47">
        <v>0.79791666666666661</v>
      </c>
      <c r="B34" s="7">
        <f t="shared" si="1"/>
        <v>14.999999999999947</v>
      </c>
      <c r="D34" s="51">
        <v>119</v>
      </c>
      <c r="E34" s="52">
        <v>84</v>
      </c>
      <c r="F34" s="52">
        <v>96</v>
      </c>
      <c r="G34" s="52">
        <v>87</v>
      </c>
      <c r="H34" s="31">
        <f t="shared" si="2"/>
        <v>194.99999999999932</v>
      </c>
      <c r="I34" s="32">
        <f t="shared" si="2"/>
        <v>194.99999999999932</v>
      </c>
      <c r="J34" s="32">
        <f t="shared" si="2"/>
        <v>194.99999999999932</v>
      </c>
      <c r="K34" s="30">
        <f t="shared" si="2"/>
        <v>164.9999999999994</v>
      </c>
    </row>
    <row r="35" spans="1:11">
      <c r="A35" s="47">
        <v>0.80833333333333324</v>
      </c>
      <c r="B35" s="7">
        <f t="shared" si="1"/>
        <v>14.999999999999947</v>
      </c>
      <c r="D35" s="51">
        <v>103</v>
      </c>
      <c r="E35" s="52">
        <v>71</v>
      </c>
      <c r="F35" s="52">
        <v>82</v>
      </c>
      <c r="G35" s="52">
        <v>81</v>
      </c>
      <c r="H35" s="31">
        <f t="shared" si="2"/>
        <v>239.99999999999915</v>
      </c>
      <c r="I35" s="32">
        <f t="shared" si="2"/>
        <v>194.99999999999932</v>
      </c>
      <c r="J35" s="32">
        <f t="shared" si="2"/>
        <v>209.99999999999926</v>
      </c>
      <c r="K35" s="30">
        <f t="shared" si="2"/>
        <v>89.999999999999687</v>
      </c>
    </row>
    <row r="36" spans="1:11">
      <c r="A36" s="47">
        <v>0.81874999999999998</v>
      </c>
      <c r="B36" s="7">
        <f t="shared" si="1"/>
        <v>15.000000000000107</v>
      </c>
      <c r="D36" s="51">
        <v>121</v>
      </c>
      <c r="E36" s="52">
        <v>79</v>
      </c>
      <c r="F36" s="52">
        <v>93</v>
      </c>
      <c r="G36" s="52">
        <v>86</v>
      </c>
      <c r="H36" s="31">
        <f t="shared" si="2"/>
        <v>270.00000000000193</v>
      </c>
      <c r="I36" s="32">
        <f t="shared" si="2"/>
        <v>120.00000000000085</v>
      </c>
      <c r="J36" s="32">
        <f t="shared" si="2"/>
        <v>165.00000000000117</v>
      </c>
      <c r="K36" s="30">
        <f t="shared" si="2"/>
        <v>75.00000000000054</v>
      </c>
    </row>
    <row r="37" spans="1:11">
      <c r="A37" s="47">
        <v>0.82916666666666661</v>
      </c>
      <c r="B37" s="7">
        <f t="shared" si="1"/>
        <v>14.999999999999947</v>
      </c>
      <c r="D37" s="51">
        <v>106</v>
      </c>
      <c r="E37" s="52">
        <v>72</v>
      </c>
      <c r="F37" s="52">
        <v>83</v>
      </c>
      <c r="G37" s="52">
        <v>80</v>
      </c>
      <c r="H37" s="31">
        <f t="shared" si="2"/>
        <v>224.9999999999992</v>
      </c>
      <c r="I37" s="32">
        <f t="shared" si="2"/>
        <v>104.99999999999963</v>
      </c>
      <c r="J37" s="32">
        <f t="shared" si="2"/>
        <v>149.99999999999946</v>
      </c>
      <c r="K37" s="30">
        <f t="shared" si="2"/>
        <v>89.999999999999687</v>
      </c>
    </row>
    <row r="38" spans="1:11">
      <c r="A38" s="47">
        <v>0.83958333333333324</v>
      </c>
      <c r="B38" s="7">
        <f t="shared" si="1"/>
        <v>14.999999999999947</v>
      </c>
      <c r="D38" s="51">
        <v>114</v>
      </c>
      <c r="E38" s="52">
        <v>78</v>
      </c>
      <c r="F38" s="52">
        <v>90</v>
      </c>
      <c r="G38" s="52">
        <v>96</v>
      </c>
      <c r="H38" s="31">
        <f t="shared" si="2"/>
        <v>119.99999999999957</v>
      </c>
      <c r="I38" s="32">
        <f t="shared" si="2"/>
        <v>89.999999999999687</v>
      </c>
      <c r="J38" s="32">
        <f t="shared" si="2"/>
        <v>104.99999999999963</v>
      </c>
      <c r="K38" s="30">
        <f t="shared" si="2"/>
        <v>239.99999999999915</v>
      </c>
    </row>
    <row r="39" spans="1:11">
      <c r="A39" s="47">
        <v>0.85</v>
      </c>
      <c r="B39" s="7">
        <f t="shared" si="1"/>
        <v>15.000000000000107</v>
      </c>
      <c r="D39" s="51">
        <v>112</v>
      </c>
      <c r="E39" s="52">
        <v>70</v>
      </c>
      <c r="F39" s="52">
        <v>84</v>
      </c>
      <c r="G39" s="52">
        <v>86</v>
      </c>
      <c r="H39" s="31">
        <f t="shared" si="2"/>
        <v>30.000000000000213</v>
      </c>
      <c r="I39" s="32">
        <f t="shared" si="2"/>
        <v>120.00000000000085</v>
      </c>
      <c r="J39" s="32">
        <f t="shared" si="2"/>
        <v>90.000000000000639</v>
      </c>
      <c r="K39" s="30">
        <f t="shared" si="2"/>
        <v>150.00000000000108</v>
      </c>
    </row>
    <row r="40" spans="1:11">
      <c r="A40" s="47">
        <v>0.86041666666666661</v>
      </c>
      <c r="B40" s="7">
        <f t="shared" si="1"/>
        <v>14.999999999999947</v>
      </c>
      <c r="D40" s="51">
        <v>113</v>
      </c>
      <c r="E40" s="52">
        <v>78</v>
      </c>
      <c r="F40" s="52">
        <v>90</v>
      </c>
      <c r="G40" s="52">
        <v>80</v>
      </c>
      <c r="H40" s="31">
        <f t="shared" si="2"/>
        <v>14.999999999999947</v>
      </c>
      <c r="I40" s="32">
        <f t="shared" si="2"/>
        <v>119.99999999999957</v>
      </c>
      <c r="J40" s="32">
        <f t="shared" si="2"/>
        <v>89.999999999999687</v>
      </c>
      <c r="K40" s="30">
        <f t="shared" si="2"/>
        <v>89.999999999999687</v>
      </c>
    </row>
    <row r="41" spans="1:11">
      <c r="A41" s="47">
        <v>0.87083333333333324</v>
      </c>
      <c r="B41" s="7">
        <f t="shared" si="1"/>
        <v>14.999999999999947</v>
      </c>
      <c r="D41" s="51">
        <v>104</v>
      </c>
      <c r="E41" s="52">
        <v>72</v>
      </c>
      <c r="F41" s="52">
        <v>83</v>
      </c>
      <c r="G41" s="52">
        <v>80</v>
      </c>
      <c r="H41" s="31">
        <f t="shared" si="2"/>
        <v>134.99999999999952</v>
      </c>
      <c r="I41" s="32">
        <f t="shared" si="2"/>
        <v>89.999999999999687</v>
      </c>
      <c r="J41" s="32">
        <f t="shared" si="2"/>
        <v>104.99999999999963</v>
      </c>
      <c r="K41" s="30">
        <f t="shared" si="2"/>
        <v>0</v>
      </c>
    </row>
    <row r="42" spans="1:11">
      <c r="A42" s="47">
        <v>0.88124999999999998</v>
      </c>
      <c r="B42" s="7">
        <f t="shared" si="1"/>
        <v>15.000000000000107</v>
      </c>
      <c r="D42" s="51">
        <v>133</v>
      </c>
      <c r="E42" s="52">
        <v>89</v>
      </c>
      <c r="F42" s="52">
        <v>104</v>
      </c>
      <c r="G42" s="52">
        <v>99</v>
      </c>
      <c r="H42" s="31">
        <f t="shared" si="2"/>
        <v>435.00000000000307</v>
      </c>
      <c r="I42" s="32">
        <f t="shared" si="2"/>
        <v>255.00000000000182</v>
      </c>
      <c r="J42" s="32">
        <f t="shared" si="2"/>
        <v>315.00000000000222</v>
      </c>
      <c r="K42" s="30">
        <f t="shared" si="2"/>
        <v>285.00000000000205</v>
      </c>
    </row>
    <row r="43" spans="1:11">
      <c r="A43" s="47">
        <v>0.89166666666666661</v>
      </c>
      <c r="B43" s="7">
        <f t="shared" si="1"/>
        <v>14.999999999999947</v>
      </c>
      <c r="D43" s="51">
        <v>123</v>
      </c>
      <c r="E43" s="52">
        <v>86</v>
      </c>
      <c r="F43" s="52">
        <v>98</v>
      </c>
      <c r="G43" s="52">
        <v>92</v>
      </c>
      <c r="H43" s="31">
        <f t="shared" si="2"/>
        <v>149.99999999999946</v>
      </c>
      <c r="I43" s="32">
        <f t="shared" si="2"/>
        <v>44.999999999999844</v>
      </c>
      <c r="J43" s="32">
        <f t="shared" si="2"/>
        <v>89.999999999999687</v>
      </c>
      <c r="K43" s="30">
        <f t="shared" si="2"/>
        <v>104.99999999999963</v>
      </c>
    </row>
    <row r="44" spans="1:11">
      <c r="A44" s="47">
        <v>0.90208333333333324</v>
      </c>
      <c r="B44" s="7">
        <f t="shared" si="1"/>
        <v>14.999999999999947</v>
      </c>
      <c r="D44" s="51">
        <v>132</v>
      </c>
      <c r="E44" s="52">
        <v>81</v>
      </c>
      <c r="F44" s="52">
        <v>98</v>
      </c>
      <c r="G44" s="52">
        <v>83</v>
      </c>
      <c r="H44" s="31">
        <f t="shared" si="2"/>
        <v>134.99999999999952</v>
      </c>
      <c r="I44" s="32">
        <f t="shared" si="2"/>
        <v>74.99999999999973</v>
      </c>
      <c r="J44" s="32">
        <f t="shared" si="2"/>
        <v>0</v>
      </c>
      <c r="K44" s="30">
        <f t="shared" si="2"/>
        <v>134.99999999999952</v>
      </c>
    </row>
    <row r="45" spans="1:11">
      <c r="A45" s="47">
        <v>0.91249999999999998</v>
      </c>
      <c r="B45" s="7">
        <f t="shared" si="1"/>
        <v>15.000000000000107</v>
      </c>
      <c r="D45" s="51">
        <v>117</v>
      </c>
      <c r="E45" s="52">
        <v>77</v>
      </c>
      <c r="F45" s="52">
        <v>90</v>
      </c>
      <c r="G45" s="52">
        <v>88</v>
      </c>
      <c r="H45" s="31">
        <f t="shared" si="2"/>
        <v>225.00000000000159</v>
      </c>
      <c r="I45" s="32">
        <f t="shared" si="2"/>
        <v>60.000000000000426</v>
      </c>
      <c r="J45" s="32">
        <f t="shared" si="2"/>
        <v>120.00000000000085</v>
      </c>
      <c r="K45" s="30">
        <f t="shared" si="2"/>
        <v>75.00000000000054</v>
      </c>
    </row>
    <row r="46" spans="1:11">
      <c r="A46" s="47">
        <v>0.93333333333333324</v>
      </c>
      <c r="B46" s="7">
        <f t="shared" si="1"/>
        <v>29.999999999999893</v>
      </c>
      <c r="D46" s="51">
        <v>119</v>
      </c>
      <c r="E46" s="52">
        <v>87</v>
      </c>
      <c r="F46" s="52">
        <v>98</v>
      </c>
      <c r="G46" s="52">
        <v>87</v>
      </c>
      <c r="H46" s="31">
        <f t="shared" si="2"/>
        <v>59.999999999999787</v>
      </c>
      <c r="I46" s="32">
        <f t="shared" si="2"/>
        <v>299.99999999999892</v>
      </c>
      <c r="J46" s="32">
        <f t="shared" si="2"/>
        <v>239.99999999999915</v>
      </c>
      <c r="K46" s="30">
        <f t="shared" si="2"/>
        <v>29.999999999999893</v>
      </c>
    </row>
    <row r="47" spans="1:11">
      <c r="A47" s="47">
        <v>0.94374999999999998</v>
      </c>
      <c r="B47" s="7">
        <f t="shared" si="1"/>
        <v>15.000000000000107</v>
      </c>
      <c r="D47" s="51">
        <v>118</v>
      </c>
      <c r="E47" s="52">
        <v>89</v>
      </c>
      <c r="F47" s="52">
        <v>99</v>
      </c>
      <c r="G47" s="52">
        <v>81</v>
      </c>
      <c r="H47" s="31">
        <f t="shared" si="2"/>
        <v>15.000000000000107</v>
      </c>
      <c r="I47" s="32">
        <f t="shared" si="2"/>
        <v>30.000000000000213</v>
      </c>
      <c r="J47" s="32">
        <f t="shared" si="2"/>
        <v>15.000000000000107</v>
      </c>
      <c r="K47" s="30">
        <f t="shared" si="2"/>
        <v>90.000000000000639</v>
      </c>
    </row>
    <row r="48" spans="1:11">
      <c r="A48" s="47">
        <v>0.96458333333333324</v>
      </c>
      <c r="B48" s="7">
        <f t="shared" si="1"/>
        <v>29.999999999999893</v>
      </c>
      <c r="D48" s="51">
        <v>91</v>
      </c>
      <c r="E48" s="52">
        <v>52</v>
      </c>
      <c r="F48" s="52">
        <v>65</v>
      </c>
      <c r="G48" s="52">
        <v>74</v>
      </c>
      <c r="H48" s="31">
        <f t="shared" si="2"/>
        <v>809.99999999999716</v>
      </c>
      <c r="I48" s="32">
        <f t="shared" si="2"/>
        <v>1109.9999999999961</v>
      </c>
      <c r="J48" s="32">
        <f t="shared" si="2"/>
        <v>1019.9999999999964</v>
      </c>
      <c r="K48" s="30">
        <f t="shared" si="2"/>
        <v>209.99999999999926</v>
      </c>
    </row>
    <row r="49" spans="1:11">
      <c r="A49" s="47">
        <v>0.98541666666666661</v>
      </c>
      <c r="B49" s="7">
        <f t="shared" si="1"/>
        <v>30.000000000000053</v>
      </c>
      <c r="D49" s="51">
        <v>89</v>
      </c>
      <c r="E49" s="52">
        <v>45</v>
      </c>
      <c r="F49" s="52">
        <v>60</v>
      </c>
      <c r="G49" s="52">
        <v>75</v>
      </c>
      <c r="H49" s="31">
        <f t="shared" si="2"/>
        <v>60.000000000000107</v>
      </c>
      <c r="I49" s="32">
        <f t="shared" si="2"/>
        <v>210.00000000000037</v>
      </c>
      <c r="J49" s="32">
        <f t="shared" si="2"/>
        <v>150.00000000000026</v>
      </c>
      <c r="K49" s="30">
        <f t="shared" si="2"/>
        <v>30.000000000000053</v>
      </c>
    </row>
    <row r="50" spans="1:11">
      <c r="A50" s="47">
        <v>6.2499999999999995E-3</v>
      </c>
      <c r="B50" s="7">
        <f t="shared" si="1"/>
        <v>30.000000000000053</v>
      </c>
      <c r="D50" s="51">
        <v>90</v>
      </c>
      <c r="E50" s="52">
        <v>51</v>
      </c>
      <c r="F50" s="52">
        <v>64</v>
      </c>
      <c r="G50" s="52">
        <v>70</v>
      </c>
      <c r="H50" s="31">
        <f t="shared" si="2"/>
        <v>30.000000000000053</v>
      </c>
      <c r="I50" s="32">
        <f t="shared" si="2"/>
        <v>180.00000000000031</v>
      </c>
      <c r="J50" s="32">
        <f t="shared" si="2"/>
        <v>120.00000000000021</v>
      </c>
      <c r="K50" s="30">
        <f t="shared" si="2"/>
        <v>150.00000000000026</v>
      </c>
    </row>
    <row r="51" spans="1:11">
      <c r="A51" s="47">
        <v>2.7083333333333334E-2</v>
      </c>
      <c r="B51" s="7">
        <f t="shared" si="1"/>
        <v>30.000000000000004</v>
      </c>
      <c r="D51" s="51">
        <v>100</v>
      </c>
      <c r="E51" s="51">
        <v>77</v>
      </c>
      <c r="F51" s="51">
        <v>85</v>
      </c>
      <c r="G51" s="51">
        <v>64</v>
      </c>
      <c r="H51" s="31">
        <f t="shared" si="2"/>
        <v>300.00000000000006</v>
      </c>
      <c r="I51" s="32">
        <f t="shared" si="2"/>
        <v>780.00000000000011</v>
      </c>
      <c r="J51" s="32">
        <f t="shared" si="2"/>
        <v>630.00000000000011</v>
      </c>
      <c r="K51" s="30">
        <f t="shared" si="2"/>
        <v>180.00000000000003</v>
      </c>
    </row>
    <row r="52" spans="1:11">
      <c r="A52" s="47">
        <v>4.7916666666666663E-2</v>
      </c>
      <c r="B52" s="7">
        <f t="shared" si="1"/>
        <v>29.999999999999993</v>
      </c>
      <c r="D52" s="51">
        <v>103</v>
      </c>
      <c r="E52" s="51">
        <v>68</v>
      </c>
      <c r="F52" s="51">
        <v>80</v>
      </c>
      <c r="G52" s="51">
        <v>63</v>
      </c>
      <c r="H52" s="31">
        <f t="shared" si="2"/>
        <v>89.999999999999972</v>
      </c>
      <c r="I52" s="32">
        <f t="shared" si="2"/>
        <v>269.99999999999994</v>
      </c>
      <c r="J52" s="32">
        <f t="shared" si="2"/>
        <v>149.99999999999997</v>
      </c>
      <c r="K52" s="30">
        <f t="shared" si="2"/>
        <v>29.999999999999993</v>
      </c>
    </row>
    <row r="53" spans="1:11">
      <c r="A53" s="47">
        <v>6.8749999999999992E-2</v>
      </c>
      <c r="B53" s="7">
        <f t="shared" si="1"/>
        <v>29.999999999999993</v>
      </c>
      <c r="D53" s="51">
        <v>110</v>
      </c>
      <c r="E53" s="51">
        <v>64</v>
      </c>
      <c r="F53" s="51">
        <v>79</v>
      </c>
      <c r="G53" s="51">
        <v>64</v>
      </c>
      <c r="H53" s="31">
        <f t="shared" si="2"/>
        <v>209.99999999999994</v>
      </c>
      <c r="I53" s="32">
        <f t="shared" si="2"/>
        <v>119.99999999999997</v>
      </c>
      <c r="J53" s="32">
        <f t="shared" si="2"/>
        <v>29.999999999999993</v>
      </c>
      <c r="K53" s="30">
        <f t="shared" si="2"/>
        <v>29.999999999999993</v>
      </c>
    </row>
    <row r="54" spans="1:11">
      <c r="A54" s="47">
        <v>8.9583333333333334E-2</v>
      </c>
      <c r="B54" s="7">
        <f t="shared" si="1"/>
        <v>30.000000000000014</v>
      </c>
      <c r="D54" s="51">
        <v>102</v>
      </c>
      <c r="E54" s="51">
        <v>66</v>
      </c>
      <c r="F54" s="51">
        <v>78</v>
      </c>
      <c r="G54" s="51">
        <v>63</v>
      </c>
      <c r="H54" s="31">
        <f t="shared" si="2"/>
        <v>240.00000000000011</v>
      </c>
      <c r="I54" s="32">
        <f t="shared" si="2"/>
        <v>60.000000000000028</v>
      </c>
      <c r="J54" s="32">
        <f t="shared" si="2"/>
        <v>30.000000000000014</v>
      </c>
      <c r="K54" s="30">
        <f t="shared" si="2"/>
        <v>30.000000000000014</v>
      </c>
    </row>
    <row r="55" spans="1:11">
      <c r="A55" s="47">
        <v>0.11041666666666666</v>
      </c>
      <c r="B55" s="7">
        <f t="shared" si="1"/>
        <v>29.999999999999993</v>
      </c>
      <c r="D55" s="51">
        <v>96</v>
      </c>
      <c r="E55" s="51">
        <v>58</v>
      </c>
      <c r="F55" s="51">
        <v>71</v>
      </c>
      <c r="G55" s="51">
        <v>67</v>
      </c>
      <c r="H55" s="31">
        <f t="shared" si="2"/>
        <v>179.99999999999994</v>
      </c>
      <c r="I55" s="32">
        <f t="shared" si="2"/>
        <v>239.99999999999994</v>
      </c>
      <c r="J55" s="32">
        <f t="shared" si="2"/>
        <v>209.99999999999994</v>
      </c>
      <c r="K55" s="30">
        <f t="shared" si="2"/>
        <v>119.99999999999997</v>
      </c>
    </row>
    <row r="56" spans="1:11">
      <c r="A56" s="47">
        <v>0.13125000000000001</v>
      </c>
      <c r="B56" s="7">
        <f t="shared" si="1"/>
        <v>30.000000000000014</v>
      </c>
      <c r="D56" s="51">
        <v>87</v>
      </c>
      <c r="E56" s="51">
        <v>54</v>
      </c>
      <c r="F56" s="51">
        <v>65</v>
      </c>
      <c r="G56" s="51">
        <v>65</v>
      </c>
      <c r="H56" s="31">
        <f t="shared" si="2"/>
        <v>270.00000000000011</v>
      </c>
      <c r="I56" s="32">
        <f t="shared" si="2"/>
        <v>120.00000000000006</v>
      </c>
      <c r="J56" s="32">
        <f t="shared" si="2"/>
        <v>180.00000000000009</v>
      </c>
      <c r="K56" s="30">
        <f t="shared" si="2"/>
        <v>60.000000000000028</v>
      </c>
    </row>
    <row r="57" spans="1:11">
      <c r="A57" s="47">
        <v>0.15208333333333332</v>
      </c>
      <c r="B57" s="7">
        <f t="shared" si="1"/>
        <v>29.999999999999972</v>
      </c>
      <c r="D57" s="51">
        <v>94</v>
      </c>
      <c r="E57" s="51">
        <v>58</v>
      </c>
      <c r="F57" s="51">
        <v>70</v>
      </c>
      <c r="G57" s="51">
        <v>64</v>
      </c>
      <c r="H57" s="31">
        <f t="shared" si="2"/>
        <v>209.9999999999998</v>
      </c>
      <c r="I57" s="32">
        <f t="shared" si="2"/>
        <v>119.99999999999989</v>
      </c>
      <c r="J57" s="32">
        <f t="shared" si="2"/>
        <v>149.99999999999986</v>
      </c>
      <c r="K57" s="30">
        <f t="shared" si="2"/>
        <v>29.999999999999972</v>
      </c>
    </row>
    <row r="58" spans="1:11">
      <c r="A58" s="47">
        <v>0.17291666666666669</v>
      </c>
      <c r="B58" s="7">
        <f t="shared" si="1"/>
        <v>30.000000000000053</v>
      </c>
      <c r="D58" s="51">
        <v>109</v>
      </c>
      <c r="E58" s="51">
        <v>66</v>
      </c>
      <c r="F58" s="51">
        <v>80</v>
      </c>
      <c r="G58" s="51">
        <v>61</v>
      </c>
      <c r="H58" s="31">
        <f t="shared" si="2"/>
        <v>450.0000000000008</v>
      </c>
      <c r="I58" s="32">
        <f t="shared" si="2"/>
        <v>240.00000000000043</v>
      </c>
      <c r="J58" s="32">
        <f t="shared" si="2"/>
        <v>300.00000000000051</v>
      </c>
      <c r="K58" s="30">
        <f t="shared" si="2"/>
        <v>90.000000000000156</v>
      </c>
    </row>
    <row r="59" spans="1:11">
      <c r="A59" s="47">
        <v>0.19375000000000001</v>
      </c>
      <c r="B59" s="7">
        <f t="shared" si="1"/>
        <v>29.999999999999972</v>
      </c>
      <c r="D59" s="51">
        <v>113</v>
      </c>
      <c r="E59" s="51">
        <v>68</v>
      </c>
      <c r="F59" s="51">
        <v>83</v>
      </c>
      <c r="G59" s="51">
        <v>65</v>
      </c>
      <c r="H59" s="31">
        <f t="shared" si="2"/>
        <v>119.99999999999989</v>
      </c>
      <c r="I59" s="32">
        <f t="shared" si="2"/>
        <v>59.999999999999943</v>
      </c>
      <c r="J59" s="32">
        <f t="shared" si="2"/>
        <v>89.999999999999915</v>
      </c>
      <c r="K59" s="30">
        <f t="shared" si="2"/>
        <v>119.99999999999989</v>
      </c>
    </row>
    <row r="60" spans="1:11">
      <c r="A60" s="47">
        <v>0.21458333333333335</v>
      </c>
      <c r="B60" s="7">
        <f t="shared" si="1"/>
        <v>30.000000000000014</v>
      </c>
      <c r="D60" s="51">
        <v>108</v>
      </c>
      <c r="E60" s="51">
        <v>70</v>
      </c>
      <c r="F60" s="51">
        <v>83</v>
      </c>
      <c r="G60" s="51">
        <v>59</v>
      </c>
      <c r="H60" s="31">
        <f t="shared" si="2"/>
        <v>150.00000000000006</v>
      </c>
      <c r="I60" s="32">
        <f t="shared" si="2"/>
        <v>60.000000000000028</v>
      </c>
      <c r="J60" s="32">
        <f t="shared" si="2"/>
        <v>0</v>
      </c>
      <c r="K60" s="30">
        <f t="shared" si="2"/>
        <v>180.00000000000009</v>
      </c>
    </row>
    <row r="61" spans="1:11">
      <c r="A61" s="47">
        <v>0.23541666666666669</v>
      </c>
      <c r="B61" s="7">
        <f t="shared" si="1"/>
        <v>30.000000000000014</v>
      </c>
      <c r="D61" s="51">
        <v>94</v>
      </c>
      <c r="E61" s="51">
        <v>64</v>
      </c>
      <c r="F61" s="51">
        <v>74</v>
      </c>
      <c r="G61" s="51">
        <v>62</v>
      </c>
      <c r="H61" s="31">
        <f t="shared" si="2"/>
        <v>420.00000000000023</v>
      </c>
      <c r="I61" s="32">
        <f t="shared" si="2"/>
        <v>180.00000000000009</v>
      </c>
      <c r="J61" s="32">
        <f t="shared" si="2"/>
        <v>270.00000000000011</v>
      </c>
      <c r="K61" s="30">
        <f t="shared" si="2"/>
        <v>90.000000000000043</v>
      </c>
    </row>
    <row r="62" spans="1:11">
      <c r="A62" s="47">
        <v>0.25625000000000003</v>
      </c>
      <c r="B62" s="7">
        <f t="shared" si="1"/>
        <v>30.000000000000014</v>
      </c>
      <c r="D62" s="51">
        <v>94</v>
      </c>
      <c r="E62" s="51">
        <v>66</v>
      </c>
      <c r="F62" s="51">
        <v>75</v>
      </c>
      <c r="G62" s="51">
        <v>59</v>
      </c>
      <c r="H62" s="31">
        <f t="shared" si="2"/>
        <v>0</v>
      </c>
      <c r="I62" s="32">
        <f t="shared" si="2"/>
        <v>60.000000000000028</v>
      </c>
      <c r="J62" s="32">
        <f t="shared" si="2"/>
        <v>30.000000000000014</v>
      </c>
      <c r="K62" s="30">
        <f t="shared" si="2"/>
        <v>90.000000000000043</v>
      </c>
    </row>
    <row r="63" spans="1:11">
      <c r="A63" s="47">
        <v>0.27708333333333335</v>
      </c>
      <c r="B63" s="7">
        <f t="shared" si="1"/>
        <v>29.999999999999972</v>
      </c>
      <c r="D63" s="51">
        <v>93</v>
      </c>
      <c r="E63" s="51">
        <v>59</v>
      </c>
      <c r="F63" s="51">
        <v>70</v>
      </c>
      <c r="G63" s="51">
        <v>63</v>
      </c>
      <c r="H63" s="31">
        <f t="shared" si="2"/>
        <v>29.999999999999972</v>
      </c>
      <c r="I63" s="32">
        <f t="shared" si="2"/>
        <v>209.9999999999998</v>
      </c>
      <c r="J63" s="32">
        <f t="shared" si="2"/>
        <v>149.99999999999986</v>
      </c>
      <c r="K63" s="30">
        <f t="shared" si="2"/>
        <v>119.99999999999989</v>
      </c>
    </row>
    <row r="64" spans="1:11">
      <c r="A64" s="2">
        <v>0.29791666666666666</v>
      </c>
      <c r="B64" s="7">
        <f t="shared" si="1"/>
        <v>29.999999999999972</v>
      </c>
      <c r="D64" s="4">
        <v>104</v>
      </c>
      <c r="E64" s="1">
        <v>63</v>
      </c>
      <c r="F64" s="1">
        <v>77</v>
      </c>
      <c r="G64" s="3">
        <v>60</v>
      </c>
      <c r="H64" s="31">
        <f t="shared" si="2"/>
        <v>329.99999999999966</v>
      </c>
      <c r="I64" s="32">
        <f t="shared" si="2"/>
        <v>119.99999999999989</v>
      </c>
      <c r="J64" s="32">
        <f t="shared" si="2"/>
        <v>209.9999999999998</v>
      </c>
      <c r="K64" s="30">
        <f t="shared" si="2"/>
        <v>89.999999999999915</v>
      </c>
    </row>
    <row r="65" spans="1:28">
      <c r="A65" s="2">
        <v>0.30833333333333335</v>
      </c>
      <c r="B65" s="7">
        <f t="shared" si="1"/>
        <v>15.000000000000027</v>
      </c>
      <c r="D65" s="4">
        <v>99</v>
      </c>
      <c r="E65" s="1">
        <v>59</v>
      </c>
      <c r="F65" s="1">
        <v>72</v>
      </c>
      <c r="G65" s="3">
        <v>61</v>
      </c>
      <c r="H65" s="31">
        <f t="shared" si="2"/>
        <v>75.000000000000128</v>
      </c>
      <c r="I65" s="32">
        <f t="shared" si="2"/>
        <v>60.000000000000107</v>
      </c>
      <c r="J65" s="32">
        <f t="shared" si="2"/>
        <v>75.000000000000128</v>
      </c>
      <c r="K65" s="30">
        <f t="shared" si="2"/>
        <v>15.000000000000027</v>
      </c>
    </row>
    <row r="66" spans="1:28">
      <c r="A66" s="2">
        <v>0.31875000000000003</v>
      </c>
      <c r="B66" s="7">
        <f t="shared" si="1"/>
        <v>15.000000000000027</v>
      </c>
      <c r="D66" s="4">
        <v>124</v>
      </c>
      <c r="E66" s="1">
        <v>80</v>
      </c>
      <c r="F66" s="1">
        <v>95</v>
      </c>
      <c r="G66" s="3">
        <v>79</v>
      </c>
      <c r="H66" s="31">
        <f t="shared" si="2"/>
        <v>375.00000000000068</v>
      </c>
      <c r="I66" s="32">
        <f t="shared" si="2"/>
        <v>315.00000000000057</v>
      </c>
      <c r="J66" s="32">
        <f t="shared" si="2"/>
        <v>345.00000000000063</v>
      </c>
      <c r="K66" s="30">
        <f t="shared" si="2"/>
        <v>270.00000000000045</v>
      </c>
    </row>
    <row r="67" spans="1:28">
      <c r="A67" s="2">
        <v>0.33958333333333335</v>
      </c>
      <c r="B67" s="7">
        <f t="shared" si="1"/>
        <v>29.999999999999972</v>
      </c>
      <c r="D67" s="4">
        <v>99</v>
      </c>
      <c r="E67" s="1">
        <v>64</v>
      </c>
      <c r="F67" s="1">
        <v>76</v>
      </c>
      <c r="G67" s="3">
        <v>86</v>
      </c>
      <c r="H67" s="31">
        <f t="shared" si="2"/>
        <v>749.99999999999932</v>
      </c>
      <c r="I67" s="32">
        <f t="shared" si="2"/>
        <v>479.99999999999955</v>
      </c>
      <c r="J67" s="32">
        <f t="shared" si="2"/>
        <v>569.99999999999943</v>
      </c>
      <c r="K67" s="30">
        <f t="shared" si="2"/>
        <v>209.9999999999998</v>
      </c>
    </row>
    <row r="68" spans="1:28">
      <c r="A68" s="2">
        <v>0.35000000000000003</v>
      </c>
      <c r="B68" s="7">
        <f t="shared" si="1"/>
        <v>15.000000000000027</v>
      </c>
      <c r="D68" s="4">
        <v>102</v>
      </c>
      <c r="E68" s="1">
        <v>68</v>
      </c>
      <c r="F68" s="1">
        <v>79</v>
      </c>
      <c r="G68" s="3">
        <v>135</v>
      </c>
      <c r="H68" s="31">
        <f t="shared" si="2"/>
        <v>45.000000000000078</v>
      </c>
      <c r="I68" s="32">
        <f t="shared" si="2"/>
        <v>60.000000000000107</v>
      </c>
      <c r="J68" s="32">
        <f t="shared" si="2"/>
        <v>45.000000000000078</v>
      </c>
      <c r="K68" s="30">
        <f t="shared" si="2"/>
        <v>735.00000000000125</v>
      </c>
    </row>
    <row r="69" spans="1:28">
      <c r="A69" s="2"/>
      <c r="B69" s="7" t="str">
        <f t="shared" ref="B69:B120" si="9">IF(A69&gt;0,IF(24*60*(A69-A68 + ((A69-A68)&lt;0))&gt;0,24*60*(A69-A68 + ((A69-A68)&lt;0)),""),"")</f>
        <v/>
      </c>
      <c r="D69" s="4"/>
      <c r="G69" s="3"/>
      <c r="H69" s="31" t="str">
        <f t="shared" ref="H69:K120" si="10">IF($B69="","",(SQRT((D69-D68)*(D69-D68))*$B69))</f>
        <v/>
      </c>
      <c r="I69" s="32" t="str">
        <f t="shared" si="10"/>
        <v/>
      </c>
      <c r="J69" s="32" t="str">
        <f t="shared" si="10"/>
        <v/>
      </c>
      <c r="K69" s="30" t="str">
        <f t="shared" si="10"/>
        <v/>
      </c>
    </row>
    <row r="70" spans="1:28">
      <c r="A70" s="2"/>
      <c r="B70" s="7" t="str">
        <f t="shared" si="9"/>
        <v/>
      </c>
      <c r="D70" s="4"/>
      <c r="G70" s="3"/>
      <c r="H70" s="31" t="str">
        <f t="shared" si="10"/>
        <v/>
      </c>
      <c r="I70" s="32" t="str">
        <f t="shared" si="10"/>
        <v/>
      </c>
      <c r="J70" s="32" t="str">
        <f t="shared" si="10"/>
        <v/>
      </c>
      <c r="K70" s="30" t="str">
        <f t="shared" si="10"/>
        <v/>
      </c>
    </row>
    <row r="71" spans="1:28">
      <c r="A71" s="2"/>
      <c r="B71" s="7" t="str">
        <f t="shared" si="9"/>
        <v/>
      </c>
      <c r="D71" s="4"/>
      <c r="G71" s="3"/>
      <c r="H71" s="31" t="str">
        <f t="shared" si="10"/>
        <v/>
      </c>
      <c r="I71" s="32" t="str">
        <f t="shared" si="10"/>
        <v/>
      </c>
      <c r="J71" s="32" t="str">
        <f t="shared" si="10"/>
        <v/>
      </c>
      <c r="K71" s="30" t="str">
        <f t="shared" si="10"/>
        <v/>
      </c>
    </row>
    <row r="72" spans="1:28">
      <c r="A72" s="2"/>
      <c r="B72" s="7" t="str">
        <f t="shared" si="9"/>
        <v/>
      </c>
      <c r="D72" s="4"/>
      <c r="G72" s="3"/>
      <c r="H72" s="31" t="str">
        <f t="shared" si="10"/>
        <v/>
      </c>
      <c r="I72" s="32" t="str">
        <f t="shared" si="10"/>
        <v/>
      </c>
      <c r="J72" s="32" t="str">
        <f t="shared" si="10"/>
        <v/>
      </c>
      <c r="K72" s="30" t="str">
        <f t="shared" si="10"/>
        <v/>
      </c>
    </row>
    <row r="73" spans="1:28">
      <c r="A73" s="2"/>
      <c r="B73" s="7" t="str">
        <f t="shared" si="9"/>
        <v/>
      </c>
      <c r="D73" s="4"/>
      <c r="G73" s="3"/>
      <c r="H73" s="31" t="str">
        <f t="shared" si="10"/>
        <v/>
      </c>
      <c r="I73" s="32" t="str">
        <f t="shared" si="10"/>
        <v/>
      </c>
      <c r="J73" s="32" t="str">
        <f t="shared" si="10"/>
        <v/>
      </c>
      <c r="K73" s="30" t="str">
        <f t="shared" si="10"/>
        <v/>
      </c>
    </row>
    <row r="74" spans="1:28">
      <c r="A74" s="2"/>
      <c r="B74" s="7" t="str">
        <f t="shared" si="9"/>
        <v/>
      </c>
      <c r="D74" s="4"/>
      <c r="G74" s="3"/>
      <c r="H74" s="31" t="str">
        <f t="shared" si="10"/>
        <v/>
      </c>
      <c r="I74" s="32" t="str">
        <f t="shared" si="10"/>
        <v/>
      </c>
      <c r="J74" s="32" t="str">
        <f t="shared" si="10"/>
        <v/>
      </c>
      <c r="K74" s="30" t="str">
        <f t="shared" si="10"/>
        <v/>
      </c>
    </row>
    <row r="75" spans="1:28">
      <c r="A75" s="2"/>
      <c r="B75" s="7" t="str">
        <f t="shared" si="9"/>
        <v/>
      </c>
      <c r="D75" s="4"/>
      <c r="G75" s="3"/>
      <c r="H75" s="31" t="str">
        <f t="shared" si="10"/>
        <v/>
      </c>
      <c r="I75" s="32" t="str">
        <f t="shared" si="10"/>
        <v/>
      </c>
      <c r="J75" s="32" t="str">
        <f t="shared" si="10"/>
        <v/>
      </c>
      <c r="K75" s="30" t="str">
        <f t="shared" si="10"/>
        <v/>
      </c>
    </row>
    <row r="76" spans="1:28">
      <c r="A76" s="2"/>
      <c r="B76" s="7" t="str">
        <f t="shared" si="9"/>
        <v/>
      </c>
      <c r="D76" s="4"/>
      <c r="G76" s="3"/>
      <c r="H76" s="31" t="str">
        <f t="shared" si="10"/>
        <v/>
      </c>
      <c r="I76" s="32" t="str">
        <f t="shared" si="10"/>
        <v/>
      </c>
      <c r="J76" s="32" t="str">
        <f t="shared" si="10"/>
        <v/>
      </c>
      <c r="K76" s="30" t="str">
        <f t="shared" si="10"/>
        <v/>
      </c>
    </row>
    <row r="77" spans="1:28">
      <c r="A77" s="2"/>
      <c r="B77" s="7" t="str">
        <f t="shared" si="9"/>
        <v/>
      </c>
      <c r="D77" s="4"/>
      <c r="G77" s="3"/>
      <c r="H77" s="31" t="str">
        <f t="shared" si="10"/>
        <v/>
      </c>
      <c r="I77" s="32" t="str">
        <f t="shared" si="10"/>
        <v/>
      </c>
      <c r="J77" s="32" t="str">
        <f t="shared" si="10"/>
        <v/>
      </c>
      <c r="K77" s="30" t="str">
        <f t="shared" si="10"/>
        <v/>
      </c>
    </row>
    <row r="78" spans="1:28">
      <c r="B78" s="7" t="str">
        <f t="shared" si="9"/>
        <v/>
      </c>
      <c r="H78" s="31" t="str">
        <f t="shared" si="10"/>
        <v/>
      </c>
      <c r="I78" s="32" t="str">
        <f t="shared" si="10"/>
        <v/>
      </c>
      <c r="J78" s="32" t="str">
        <f t="shared" si="10"/>
        <v/>
      </c>
      <c r="K78" s="30" t="str">
        <f t="shared" si="10"/>
        <v/>
      </c>
    </row>
    <row r="79" spans="1:28">
      <c r="B79" s="7" t="str">
        <f t="shared" si="9"/>
        <v/>
      </c>
      <c r="H79" s="31" t="str">
        <f t="shared" si="10"/>
        <v/>
      </c>
      <c r="I79" s="32" t="str">
        <f t="shared" si="10"/>
        <v/>
      </c>
      <c r="J79" s="32" t="str">
        <f t="shared" si="10"/>
        <v/>
      </c>
      <c r="K79" s="30" t="str">
        <f t="shared" si="10"/>
        <v/>
      </c>
      <c r="T79"/>
      <c r="U79"/>
      <c r="V79"/>
      <c r="W79"/>
      <c r="X79"/>
      <c r="Y79"/>
      <c r="Z79"/>
      <c r="AA79"/>
      <c r="AB79"/>
    </row>
    <row r="80" spans="1:28">
      <c r="B80" s="7" t="str">
        <f t="shared" si="9"/>
        <v/>
      </c>
      <c r="H80" s="31" t="str">
        <f t="shared" si="10"/>
        <v/>
      </c>
      <c r="I80" s="32" t="str">
        <f t="shared" si="10"/>
        <v/>
      </c>
      <c r="J80" s="32" t="str">
        <f t="shared" si="10"/>
        <v/>
      </c>
      <c r="K80" s="30" t="str">
        <f t="shared" si="10"/>
        <v/>
      </c>
      <c r="T80"/>
      <c r="U80"/>
      <c r="V80"/>
      <c r="W80"/>
      <c r="X80"/>
      <c r="Y80"/>
      <c r="Z80"/>
      <c r="AA80"/>
      <c r="AB80"/>
    </row>
    <row r="81" spans="1:28" s="17" customFormat="1">
      <c r="A81" s="4"/>
      <c r="B81" s="7" t="str">
        <f t="shared" si="9"/>
        <v/>
      </c>
      <c r="D81" s="1"/>
      <c r="E81" s="1"/>
      <c r="F81" s="1"/>
      <c r="G81" s="1"/>
      <c r="H81" s="31" t="str">
        <f t="shared" si="10"/>
        <v/>
      </c>
      <c r="I81" s="32" t="str">
        <f t="shared" si="10"/>
        <v/>
      </c>
      <c r="J81" s="32" t="str">
        <f t="shared" si="10"/>
        <v/>
      </c>
      <c r="K81" s="30" t="str">
        <f t="shared" si="10"/>
        <v/>
      </c>
      <c r="L81" s="13"/>
      <c r="M81" s="13"/>
      <c r="N81" s="13"/>
      <c r="O81" s="13"/>
      <c r="P81" s="13"/>
      <c r="Q81" s="13"/>
      <c r="R81" s="13"/>
      <c r="S81" s="26"/>
      <c r="T81"/>
      <c r="U81"/>
      <c r="V81"/>
      <c r="W81"/>
      <c r="X81"/>
      <c r="Y81"/>
      <c r="Z81"/>
      <c r="AA81"/>
      <c r="AB81"/>
    </row>
    <row r="82" spans="1:28" s="17" customFormat="1">
      <c r="A82" s="4"/>
      <c r="B82" s="7" t="str">
        <f t="shared" si="9"/>
        <v/>
      </c>
      <c r="D82" s="1"/>
      <c r="E82" s="1"/>
      <c r="F82" s="1"/>
      <c r="G82" s="1"/>
      <c r="H82" s="31" t="str">
        <f t="shared" si="10"/>
        <v/>
      </c>
      <c r="I82" s="32" t="str">
        <f t="shared" si="10"/>
        <v/>
      </c>
      <c r="J82" s="32" t="str">
        <f t="shared" si="10"/>
        <v/>
      </c>
      <c r="K82" s="30" t="str">
        <f t="shared" si="10"/>
        <v/>
      </c>
      <c r="L82" s="13"/>
      <c r="M82" s="13"/>
      <c r="N82" s="13"/>
      <c r="O82" s="13"/>
      <c r="P82" s="13"/>
      <c r="Q82" s="13"/>
      <c r="R82" s="13"/>
      <c r="S82" s="26"/>
      <c r="T82"/>
      <c r="U82"/>
      <c r="V82"/>
      <c r="W82"/>
      <c r="X82"/>
      <c r="Y82"/>
      <c r="Z82"/>
      <c r="AA82"/>
      <c r="AB82"/>
    </row>
    <row r="83" spans="1:28" s="17" customFormat="1">
      <c r="A83" s="4"/>
      <c r="B83" s="7" t="str">
        <f t="shared" si="9"/>
        <v/>
      </c>
      <c r="D83" s="1"/>
      <c r="E83" s="1"/>
      <c r="F83" s="1"/>
      <c r="G83" s="1"/>
      <c r="H83" s="31" t="str">
        <f t="shared" si="10"/>
        <v/>
      </c>
      <c r="I83" s="32" t="str">
        <f t="shared" si="10"/>
        <v/>
      </c>
      <c r="J83" s="32" t="str">
        <f t="shared" si="10"/>
        <v/>
      </c>
      <c r="K83" s="30" t="str">
        <f t="shared" si="10"/>
        <v/>
      </c>
      <c r="L83" s="13"/>
      <c r="M83" s="13"/>
      <c r="N83" s="13"/>
      <c r="O83" s="13"/>
      <c r="P83" s="13"/>
      <c r="Q83" s="13"/>
      <c r="R83" s="13"/>
      <c r="S83" s="26"/>
      <c r="T83"/>
      <c r="U83"/>
      <c r="V83"/>
      <c r="W83"/>
      <c r="X83"/>
      <c r="Y83"/>
      <c r="Z83"/>
      <c r="AA83"/>
      <c r="AB83"/>
    </row>
    <row r="84" spans="1:28" s="17" customFormat="1">
      <c r="A84" s="4"/>
      <c r="B84" s="7" t="str">
        <f t="shared" si="9"/>
        <v/>
      </c>
      <c r="D84" s="1"/>
      <c r="E84" s="1"/>
      <c r="F84" s="1"/>
      <c r="G84" s="1"/>
      <c r="H84" s="31" t="str">
        <f t="shared" si="10"/>
        <v/>
      </c>
      <c r="I84" s="32" t="str">
        <f t="shared" si="10"/>
        <v/>
      </c>
      <c r="J84" s="32" t="str">
        <f t="shared" si="10"/>
        <v/>
      </c>
      <c r="K84" s="30" t="str">
        <f t="shared" si="10"/>
        <v/>
      </c>
      <c r="L84" s="13"/>
      <c r="M84" s="13"/>
      <c r="N84" s="13"/>
      <c r="O84" s="13"/>
      <c r="P84" s="13"/>
      <c r="Q84" s="13"/>
      <c r="R84" s="13"/>
      <c r="S84" s="26"/>
      <c r="T84"/>
      <c r="U84"/>
      <c r="V84"/>
      <c r="W84"/>
      <c r="X84"/>
      <c r="Y84"/>
      <c r="Z84"/>
      <c r="AA84"/>
      <c r="AB84"/>
    </row>
    <row r="85" spans="1:28" s="17" customFormat="1">
      <c r="A85" s="4"/>
      <c r="B85" s="7" t="str">
        <f t="shared" si="9"/>
        <v/>
      </c>
      <c r="D85" s="1"/>
      <c r="E85" s="1"/>
      <c r="F85" s="1"/>
      <c r="G85" s="1"/>
      <c r="H85" s="31" t="str">
        <f t="shared" si="10"/>
        <v/>
      </c>
      <c r="I85" s="32" t="str">
        <f t="shared" si="10"/>
        <v/>
      </c>
      <c r="J85" s="32" t="str">
        <f t="shared" si="10"/>
        <v/>
      </c>
      <c r="K85" s="30" t="str">
        <f t="shared" si="10"/>
        <v/>
      </c>
      <c r="L85" s="13"/>
      <c r="M85" s="13"/>
      <c r="N85" s="13"/>
      <c r="O85" s="13"/>
      <c r="P85" s="13"/>
      <c r="Q85" s="13"/>
      <c r="R85" s="13"/>
      <c r="S85" s="26"/>
      <c r="T85"/>
      <c r="U85"/>
      <c r="V85"/>
      <c r="W85"/>
      <c r="X85"/>
      <c r="Y85"/>
      <c r="Z85"/>
      <c r="AA85"/>
      <c r="AB85"/>
    </row>
    <row r="86" spans="1:28" s="17" customFormat="1">
      <c r="A86" s="4"/>
      <c r="B86" s="7" t="str">
        <f t="shared" si="9"/>
        <v/>
      </c>
      <c r="D86" s="1"/>
      <c r="E86" s="1"/>
      <c r="F86" s="1"/>
      <c r="G86" s="1"/>
      <c r="H86" s="31" t="str">
        <f t="shared" si="10"/>
        <v/>
      </c>
      <c r="I86" s="32" t="str">
        <f t="shared" si="10"/>
        <v/>
      </c>
      <c r="J86" s="32" t="str">
        <f t="shared" si="10"/>
        <v/>
      </c>
      <c r="K86" s="30" t="str">
        <f t="shared" si="10"/>
        <v/>
      </c>
      <c r="L86" s="13"/>
      <c r="M86" s="13"/>
      <c r="N86" s="13"/>
      <c r="O86" s="13"/>
      <c r="P86" s="13"/>
      <c r="Q86" s="13"/>
      <c r="R86" s="13"/>
      <c r="S86" s="26"/>
      <c r="T86"/>
      <c r="U86"/>
      <c r="V86"/>
      <c r="W86"/>
      <c r="X86"/>
      <c r="Y86"/>
      <c r="Z86"/>
      <c r="AA86"/>
      <c r="AB86"/>
    </row>
    <row r="87" spans="1:28" s="17" customFormat="1">
      <c r="A87" s="4"/>
      <c r="B87" s="7" t="str">
        <f t="shared" si="9"/>
        <v/>
      </c>
      <c r="D87" s="1"/>
      <c r="E87" s="1"/>
      <c r="F87" s="1"/>
      <c r="G87" s="1"/>
      <c r="H87" s="31" t="str">
        <f t="shared" si="10"/>
        <v/>
      </c>
      <c r="I87" s="32" t="str">
        <f t="shared" si="10"/>
        <v/>
      </c>
      <c r="J87" s="32" t="str">
        <f t="shared" si="10"/>
        <v/>
      </c>
      <c r="K87" s="30" t="str">
        <f t="shared" si="10"/>
        <v/>
      </c>
      <c r="L87" s="13"/>
      <c r="M87" s="13"/>
      <c r="N87" s="13"/>
      <c r="O87" s="13"/>
      <c r="P87" s="13"/>
      <c r="Q87" s="13"/>
      <c r="R87" s="13"/>
      <c r="S87" s="26"/>
      <c r="T87"/>
      <c r="U87"/>
      <c r="V87"/>
      <c r="W87"/>
      <c r="X87"/>
      <c r="Y87"/>
      <c r="Z87"/>
      <c r="AA87"/>
      <c r="AB87"/>
    </row>
    <row r="88" spans="1:28" s="17" customFormat="1">
      <c r="A88" s="4"/>
      <c r="B88" s="7" t="str">
        <f t="shared" si="9"/>
        <v/>
      </c>
      <c r="D88" s="1"/>
      <c r="E88" s="1"/>
      <c r="F88" s="1"/>
      <c r="G88" s="1"/>
      <c r="H88" s="31" t="str">
        <f t="shared" si="10"/>
        <v/>
      </c>
      <c r="I88" s="32" t="str">
        <f t="shared" si="10"/>
        <v/>
      </c>
      <c r="J88" s="32" t="str">
        <f t="shared" si="10"/>
        <v/>
      </c>
      <c r="K88" s="30" t="str">
        <f t="shared" si="10"/>
        <v/>
      </c>
      <c r="L88" s="13"/>
      <c r="M88" s="13"/>
      <c r="N88" s="13"/>
      <c r="O88" s="13"/>
      <c r="P88" s="13"/>
      <c r="Q88" s="13"/>
      <c r="R88" s="13"/>
      <c r="S88" s="26"/>
      <c r="T88"/>
      <c r="U88"/>
      <c r="V88"/>
      <c r="W88"/>
      <c r="X88"/>
      <c r="Y88"/>
      <c r="Z88"/>
      <c r="AA88"/>
      <c r="AB88"/>
    </row>
    <row r="89" spans="1:28" s="17" customFormat="1">
      <c r="A89" s="4"/>
      <c r="B89" s="7" t="str">
        <f t="shared" si="9"/>
        <v/>
      </c>
      <c r="D89" s="1"/>
      <c r="E89" s="1"/>
      <c r="F89" s="1"/>
      <c r="G89" s="1"/>
      <c r="H89" s="31" t="str">
        <f t="shared" si="10"/>
        <v/>
      </c>
      <c r="I89" s="32" t="str">
        <f t="shared" si="10"/>
        <v/>
      </c>
      <c r="J89" s="32" t="str">
        <f t="shared" si="10"/>
        <v/>
      </c>
      <c r="K89" s="30" t="str">
        <f t="shared" si="10"/>
        <v/>
      </c>
      <c r="L89" s="13"/>
      <c r="M89" s="13"/>
      <c r="N89" s="13"/>
      <c r="O89" s="13"/>
      <c r="P89" s="13"/>
      <c r="Q89" s="13"/>
      <c r="R89" s="13"/>
      <c r="S89" s="26"/>
      <c r="T89"/>
      <c r="U89"/>
      <c r="V89"/>
      <c r="W89"/>
      <c r="X89"/>
      <c r="Y89"/>
      <c r="Z89"/>
      <c r="AA89"/>
      <c r="AB89"/>
    </row>
    <row r="90" spans="1:28" s="17" customFormat="1">
      <c r="A90" s="4"/>
      <c r="B90" s="7" t="str">
        <f t="shared" si="9"/>
        <v/>
      </c>
      <c r="D90" s="1"/>
      <c r="E90" s="1"/>
      <c r="F90" s="1"/>
      <c r="G90" s="1"/>
      <c r="H90" s="31" t="str">
        <f t="shared" si="10"/>
        <v/>
      </c>
      <c r="I90" s="32" t="str">
        <f t="shared" si="10"/>
        <v/>
      </c>
      <c r="J90" s="32" t="str">
        <f t="shared" si="10"/>
        <v/>
      </c>
      <c r="K90" s="30" t="str">
        <f t="shared" si="10"/>
        <v/>
      </c>
      <c r="L90" s="13"/>
      <c r="M90" s="13"/>
      <c r="N90" s="13"/>
      <c r="O90" s="13"/>
      <c r="P90" s="13"/>
      <c r="Q90" s="13"/>
      <c r="R90" s="13"/>
      <c r="S90" s="26"/>
      <c r="T90"/>
      <c r="U90"/>
      <c r="V90"/>
      <c r="W90"/>
      <c r="X90"/>
      <c r="Y90"/>
      <c r="Z90"/>
      <c r="AA90"/>
      <c r="AB90"/>
    </row>
    <row r="91" spans="1:28" s="17" customFormat="1">
      <c r="A91" s="4"/>
      <c r="B91" s="7" t="str">
        <f t="shared" si="9"/>
        <v/>
      </c>
      <c r="D91" s="1"/>
      <c r="E91" s="1"/>
      <c r="F91" s="1"/>
      <c r="G91" s="1"/>
      <c r="H91" s="31" t="str">
        <f t="shared" si="10"/>
        <v/>
      </c>
      <c r="I91" s="32" t="str">
        <f t="shared" si="10"/>
        <v/>
      </c>
      <c r="J91" s="32" t="str">
        <f t="shared" si="10"/>
        <v/>
      </c>
      <c r="K91" s="30" t="str">
        <f t="shared" si="10"/>
        <v/>
      </c>
      <c r="L91" s="13"/>
      <c r="M91" s="13"/>
      <c r="N91" s="13"/>
      <c r="O91" s="13"/>
      <c r="P91" s="13"/>
      <c r="Q91" s="13"/>
      <c r="R91" s="13"/>
      <c r="S91" s="26"/>
      <c r="T91"/>
      <c r="U91"/>
      <c r="V91"/>
      <c r="W91"/>
      <c r="X91"/>
      <c r="Y91"/>
      <c r="Z91"/>
      <c r="AA91"/>
      <c r="AB91"/>
    </row>
    <row r="92" spans="1:28" s="17" customFormat="1">
      <c r="A92" s="4"/>
      <c r="B92" s="7" t="str">
        <f t="shared" si="9"/>
        <v/>
      </c>
      <c r="D92" s="1"/>
      <c r="E92" s="1"/>
      <c r="F92" s="1"/>
      <c r="G92" s="1"/>
      <c r="H92" s="31" t="str">
        <f t="shared" si="10"/>
        <v/>
      </c>
      <c r="I92" s="32" t="str">
        <f t="shared" si="10"/>
        <v/>
      </c>
      <c r="J92" s="32" t="str">
        <f t="shared" si="10"/>
        <v/>
      </c>
      <c r="K92" s="30" t="str">
        <f t="shared" si="10"/>
        <v/>
      </c>
      <c r="L92" s="13"/>
      <c r="M92" s="13"/>
      <c r="N92" s="13"/>
      <c r="O92" s="13"/>
      <c r="P92" s="13"/>
      <c r="Q92" s="13"/>
      <c r="R92" s="13"/>
      <c r="S92" s="26"/>
      <c r="T92"/>
      <c r="U92"/>
      <c r="V92"/>
      <c r="W92"/>
      <c r="X92"/>
      <c r="Y92"/>
      <c r="Z92"/>
      <c r="AA92"/>
      <c r="AB92"/>
    </row>
    <row r="93" spans="1:28" s="17" customFormat="1">
      <c r="A93" s="4"/>
      <c r="B93" s="7" t="str">
        <f t="shared" si="9"/>
        <v/>
      </c>
      <c r="D93" s="1"/>
      <c r="E93" s="1"/>
      <c r="F93" s="1"/>
      <c r="G93" s="1"/>
      <c r="H93" s="31" t="str">
        <f t="shared" si="10"/>
        <v/>
      </c>
      <c r="I93" s="32" t="str">
        <f t="shared" si="10"/>
        <v/>
      </c>
      <c r="J93" s="32" t="str">
        <f t="shared" si="10"/>
        <v/>
      </c>
      <c r="K93" s="30" t="str">
        <f t="shared" si="10"/>
        <v/>
      </c>
      <c r="L93" s="13"/>
      <c r="M93" s="13"/>
      <c r="N93" s="13"/>
      <c r="O93" s="13"/>
      <c r="P93" s="13"/>
      <c r="Q93" s="13"/>
      <c r="R93" s="13"/>
      <c r="S93" s="26"/>
      <c r="T93"/>
      <c r="U93"/>
      <c r="V93"/>
      <c r="W93"/>
      <c r="X93"/>
      <c r="Y93"/>
      <c r="Z93"/>
      <c r="AA93"/>
      <c r="AB93"/>
    </row>
    <row r="94" spans="1:28" s="17" customFormat="1">
      <c r="A94" s="4"/>
      <c r="B94" s="7" t="str">
        <f t="shared" si="9"/>
        <v/>
      </c>
      <c r="D94" s="1"/>
      <c r="E94" s="1"/>
      <c r="F94" s="1"/>
      <c r="G94" s="1"/>
      <c r="H94" s="31" t="str">
        <f t="shared" si="10"/>
        <v/>
      </c>
      <c r="I94" s="32" t="str">
        <f t="shared" si="10"/>
        <v/>
      </c>
      <c r="J94" s="32" t="str">
        <f t="shared" si="10"/>
        <v/>
      </c>
      <c r="K94" s="30" t="str">
        <f t="shared" si="10"/>
        <v/>
      </c>
      <c r="L94" s="13"/>
      <c r="M94" s="13"/>
      <c r="N94" s="13"/>
      <c r="O94" s="13"/>
      <c r="P94" s="13"/>
      <c r="Q94" s="13"/>
      <c r="R94" s="13"/>
      <c r="S94" s="26"/>
      <c r="T94"/>
      <c r="U94"/>
      <c r="V94"/>
      <c r="W94"/>
      <c r="X94"/>
      <c r="Y94"/>
      <c r="Z94"/>
      <c r="AA94"/>
      <c r="AB94"/>
    </row>
    <row r="95" spans="1:28" s="17" customFormat="1">
      <c r="A95" s="4"/>
      <c r="B95" s="7" t="str">
        <f t="shared" si="9"/>
        <v/>
      </c>
      <c r="D95" s="1"/>
      <c r="E95" s="1"/>
      <c r="F95" s="1"/>
      <c r="G95" s="1"/>
      <c r="H95" s="31" t="str">
        <f t="shared" si="10"/>
        <v/>
      </c>
      <c r="I95" s="32" t="str">
        <f t="shared" si="10"/>
        <v/>
      </c>
      <c r="J95" s="32" t="str">
        <f t="shared" si="10"/>
        <v/>
      </c>
      <c r="K95" s="30" t="str">
        <f t="shared" si="10"/>
        <v/>
      </c>
      <c r="L95" s="13"/>
      <c r="M95" s="13"/>
      <c r="N95" s="13"/>
      <c r="O95" s="13"/>
      <c r="P95" s="13"/>
      <c r="Q95" s="13"/>
      <c r="R95" s="13"/>
      <c r="S95" s="26"/>
      <c r="T95"/>
      <c r="U95"/>
      <c r="V95"/>
      <c r="W95"/>
      <c r="X95"/>
      <c r="Y95"/>
      <c r="Z95"/>
      <c r="AA95"/>
      <c r="AB95"/>
    </row>
    <row r="96" spans="1:28" s="17" customFormat="1">
      <c r="A96" s="4"/>
      <c r="B96" s="7" t="str">
        <f t="shared" si="9"/>
        <v/>
      </c>
      <c r="D96" s="1"/>
      <c r="E96" s="1"/>
      <c r="F96" s="1"/>
      <c r="G96" s="1"/>
      <c r="H96" s="31" t="str">
        <f t="shared" si="10"/>
        <v/>
      </c>
      <c r="I96" s="32" t="str">
        <f t="shared" si="10"/>
        <v/>
      </c>
      <c r="J96" s="32" t="str">
        <f t="shared" si="10"/>
        <v/>
      </c>
      <c r="K96" s="30" t="str">
        <f t="shared" si="10"/>
        <v/>
      </c>
      <c r="L96" s="13"/>
      <c r="M96" s="13"/>
      <c r="N96" s="13"/>
      <c r="O96" s="13"/>
      <c r="P96" s="13"/>
      <c r="Q96" s="13"/>
      <c r="R96" s="13"/>
      <c r="S96" s="26"/>
      <c r="T96"/>
      <c r="U96"/>
      <c r="V96"/>
      <c r="W96"/>
      <c r="X96"/>
      <c r="Y96"/>
      <c r="Z96"/>
      <c r="AA96"/>
      <c r="AB96"/>
    </row>
    <row r="97" spans="1:28" s="17" customFormat="1">
      <c r="A97" s="4"/>
      <c r="B97" s="7" t="str">
        <f t="shared" si="9"/>
        <v/>
      </c>
      <c r="D97" s="1"/>
      <c r="E97" s="1"/>
      <c r="F97" s="1"/>
      <c r="G97" s="1"/>
      <c r="H97" s="31" t="str">
        <f t="shared" si="10"/>
        <v/>
      </c>
      <c r="I97" s="32" t="str">
        <f t="shared" si="10"/>
        <v/>
      </c>
      <c r="J97" s="32" t="str">
        <f t="shared" si="10"/>
        <v/>
      </c>
      <c r="K97" s="30" t="str">
        <f t="shared" si="10"/>
        <v/>
      </c>
      <c r="L97" s="13"/>
      <c r="M97" s="13"/>
      <c r="N97" s="13"/>
      <c r="O97" s="13"/>
      <c r="P97" s="13"/>
      <c r="Q97" s="13"/>
      <c r="R97" s="13"/>
      <c r="S97" s="26"/>
      <c r="T97"/>
      <c r="U97"/>
      <c r="V97"/>
      <c r="W97"/>
      <c r="X97"/>
      <c r="Y97"/>
      <c r="Z97"/>
      <c r="AA97"/>
      <c r="AB97"/>
    </row>
    <row r="98" spans="1:28" s="17" customFormat="1">
      <c r="A98" s="4"/>
      <c r="B98" s="7" t="str">
        <f t="shared" si="9"/>
        <v/>
      </c>
      <c r="D98" s="1"/>
      <c r="E98" s="1"/>
      <c r="F98" s="1"/>
      <c r="G98" s="1"/>
      <c r="H98" s="31" t="str">
        <f t="shared" si="10"/>
        <v/>
      </c>
      <c r="I98" s="32" t="str">
        <f t="shared" si="10"/>
        <v/>
      </c>
      <c r="J98" s="32" t="str">
        <f t="shared" si="10"/>
        <v/>
      </c>
      <c r="K98" s="30" t="str">
        <f t="shared" si="10"/>
        <v/>
      </c>
      <c r="L98" s="13"/>
      <c r="M98" s="13"/>
      <c r="N98" s="13"/>
      <c r="O98" s="13"/>
      <c r="P98" s="13"/>
      <c r="Q98" s="13"/>
      <c r="R98" s="13"/>
      <c r="S98" s="26"/>
      <c r="T98"/>
      <c r="U98"/>
      <c r="V98"/>
      <c r="W98"/>
      <c r="X98"/>
      <c r="Y98"/>
      <c r="Z98"/>
      <c r="AA98"/>
      <c r="AB98"/>
    </row>
    <row r="99" spans="1:28" s="17" customFormat="1">
      <c r="A99" s="4"/>
      <c r="B99" s="7" t="str">
        <f t="shared" si="9"/>
        <v/>
      </c>
      <c r="D99" s="1"/>
      <c r="E99" s="1"/>
      <c r="F99" s="1"/>
      <c r="G99" s="1"/>
      <c r="H99" s="31" t="str">
        <f t="shared" si="10"/>
        <v/>
      </c>
      <c r="I99" s="32" t="str">
        <f t="shared" si="10"/>
        <v/>
      </c>
      <c r="J99" s="32" t="str">
        <f t="shared" si="10"/>
        <v/>
      </c>
      <c r="K99" s="30" t="str">
        <f t="shared" si="10"/>
        <v/>
      </c>
      <c r="L99" s="13"/>
      <c r="M99" s="13"/>
      <c r="N99" s="13"/>
      <c r="O99" s="13"/>
      <c r="P99" s="13"/>
      <c r="Q99" s="13"/>
      <c r="R99" s="13"/>
      <c r="S99" s="26"/>
      <c r="T99"/>
      <c r="U99"/>
      <c r="V99"/>
      <c r="W99"/>
      <c r="X99"/>
      <c r="Y99"/>
      <c r="Z99"/>
      <c r="AA99"/>
      <c r="AB99"/>
    </row>
    <row r="100" spans="1:28" s="17" customFormat="1">
      <c r="A100" s="4"/>
      <c r="B100" s="7" t="str">
        <f t="shared" si="9"/>
        <v/>
      </c>
      <c r="D100" s="1"/>
      <c r="E100" s="1"/>
      <c r="F100" s="1"/>
      <c r="G100" s="1"/>
      <c r="H100" s="31" t="str">
        <f t="shared" si="10"/>
        <v/>
      </c>
      <c r="I100" s="32" t="str">
        <f t="shared" si="10"/>
        <v/>
      </c>
      <c r="J100" s="32" t="str">
        <f t="shared" si="10"/>
        <v/>
      </c>
      <c r="K100" s="30" t="str">
        <f t="shared" si="10"/>
        <v/>
      </c>
      <c r="L100" s="13"/>
      <c r="M100" s="13"/>
      <c r="N100" s="13"/>
      <c r="O100" s="13"/>
      <c r="P100" s="13"/>
      <c r="Q100" s="13"/>
      <c r="R100" s="13"/>
      <c r="S100" s="26"/>
      <c r="T100"/>
      <c r="U100"/>
      <c r="V100"/>
      <c r="W100"/>
      <c r="X100"/>
      <c r="Y100"/>
      <c r="Z100"/>
      <c r="AA100"/>
      <c r="AB100"/>
    </row>
    <row r="101" spans="1:28">
      <c r="B101" s="7" t="str">
        <f t="shared" si="9"/>
        <v/>
      </c>
      <c r="H101" s="31" t="str">
        <f t="shared" si="10"/>
        <v/>
      </c>
      <c r="I101" s="32" t="str">
        <f t="shared" si="10"/>
        <v/>
      </c>
      <c r="J101" s="32" t="str">
        <f t="shared" si="10"/>
        <v/>
      </c>
      <c r="K101" s="30" t="str">
        <f t="shared" si="10"/>
        <v/>
      </c>
      <c r="T101"/>
      <c r="U101"/>
      <c r="V101"/>
      <c r="W101"/>
      <c r="X101"/>
      <c r="Y101"/>
      <c r="Z101"/>
      <c r="AA101"/>
      <c r="AB101"/>
    </row>
    <row r="102" spans="1:28">
      <c r="B102" s="7" t="str">
        <f t="shared" si="9"/>
        <v/>
      </c>
      <c r="H102" s="31" t="str">
        <f t="shared" si="10"/>
        <v/>
      </c>
      <c r="I102" s="32" t="str">
        <f t="shared" si="10"/>
        <v/>
      </c>
      <c r="J102" s="32" t="str">
        <f t="shared" si="10"/>
        <v/>
      </c>
      <c r="K102" s="30" t="str">
        <f t="shared" si="10"/>
        <v/>
      </c>
      <c r="T102"/>
      <c r="U102"/>
      <c r="V102"/>
      <c r="W102"/>
      <c r="X102"/>
      <c r="Y102"/>
      <c r="Z102"/>
      <c r="AA102"/>
      <c r="AB102"/>
    </row>
    <row r="103" spans="1:28">
      <c r="B103" s="7" t="str">
        <f t="shared" si="9"/>
        <v/>
      </c>
      <c r="H103" s="31" t="str">
        <f t="shared" si="10"/>
        <v/>
      </c>
      <c r="I103" s="32" t="str">
        <f t="shared" si="10"/>
        <v/>
      </c>
      <c r="J103" s="32" t="str">
        <f t="shared" si="10"/>
        <v/>
      </c>
      <c r="K103" s="30" t="str">
        <f t="shared" si="10"/>
        <v/>
      </c>
      <c r="T103"/>
      <c r="U103"/>
      <c r="V103"/>
      <c r="W103"/>
      <c r="X103"/>
      <c r="Y103"/>
      <c r="Z103"/>
      <c r="AA103"/>
      <c r="AB103"/>
    </row>
    <row r="104" spans="1:28">
      <c r="B104" s="7" t="str">
        <f t="shared" si="9"/>
        <v/>
      </c>
      <c r="H104" s="31" t="str">
        <f t="shared" si="10"/>
        <v/>
      </c>
      <c r="I104" s="32" t="str">
        <f t="shared" si="10"/>
        <v/>
      </c>
      <c r="J104" s="32" t="str">
        <f t="shared" si="10"/>
        <v/>
      </c>
      <c r="K104" s="30" t="str">
        <f t="shared" si="10"/>
        <v/>
      </c>
      <c r="T104"/>
      <c r="U104"/>
      <c r="V104"/>
      <c r="W104"/>
      <c r="X104"/>
      <c r="Y104"/>
      <c r="Z104"/>
      <c r="AA104"/>
      <c r="AB104"/>
    </row>
    <row r="105" spans="1:28">
      <c r="B105" s="7" t="str">
        <f t="shared" si="9"/>
        <v/>
      </c>
      <c r="H105" s="31" t="str">
        <f t="shared" si="10"/>
        <v/>
      </c>
      <c r="I105" s="32" t="str">
        <f t="shared" si="10"/>
        <v/>
      </c>
      <c r="J105" s="32" t="str">
        <f t="shared" si="10"/>
        <v/>
      </c>
      <c r="K105" s="30" t="str">
        <f t="shared" si="10"/>
        <v/>
      </c>
      <c r="T105"/>
      <c r="U105"/>
      <c r="V105"/>
      <c r="W105"/>
      <c r="X105"/>
      <c r="Y105"/>
      <c r="Z105"/>
      <c r="AA105"/>
      <c r="AB105"/>
    </row>
    <row r="106" spans="1:28">
      <c r="B106" s="7" t="str">
        <f t="shared" si="9"/>
        <v/>
      </c>
      <c r="H106" s="31" t="str">
        <f t="shared" si="10"/>
        <v/>
      </c>
      <c r="I106" s="32" t="str">
        <f t="shared" si="10"/>
        <v/>
      </c>
      <c r="J106" s="32" t="str">
        <f t="shared" si="10"/>
        <v/>
      </c>
      <c r="K106" s="30" t="str">
        <f t="shared" si="10"/>
        <v/>
      </c>
      <c r="T106"/>
      <c r="U106"/>
      <c r="V106"/>
      <c r="W106"/>
      <c r="X106"/>
      <c r="Y106"/>
      <c r="Z106"/>
      <c r="AA106"/>
      <c r="AB106"/>
    </row>
    <row r="107" spans="1:28">
      <c r="B107" s="7" t="str">
        <f t="shared" si="9"/>
        <v/>
      </c>
      <c r="H107" s="31" t="str">
        <f t="shared" si="10"/>
        <v/>
      </c>
      <c r="I107" s="32" t="str">
        <f t="shared" si="10"/>
        <v/>
      </c>
      <c r="J107" s="32" t="str">
        <f t="shared" si="10"/>
        <v/>
      </c>
      <c r="K107" s="30" t="str">
        <f t="shared" si="10"/>
        <v/>
      </c>
      <c r="T107"/>
      <c r="U107"/>
      <c r="V107"/>
      <c r="W107"/>
      <c r="X107"/>
      <c r="Y107"/>
      <c r="Z107"/>
      <c r="AA107"/>
      <c r="AB107"/>
    </row>
    <row r="108" spans="1:28">
      <c r="B108" s="7" t="str">
        <f t="shared" si="9"/>
        <v/>
      </c>
      <c r="H108" s="31" t="str">
        <f t="shared" si="10"/>
        <v/>
      </c>
      <c r="I108" s="32" t="str">
        <f t="shared" si="10"/>
        <v/>
      </c>
      <c r="J108" s="32" t="str">
        <f t="shared" si="10"/>
        <v/>
      </c>
      <c r="K108" s="30" t="str">
        <f t="shared" si="10"/>
        <v/>
      </c>
      <c r="T108"/>
      <c r="U108"/>
      <c r="V108"/>
      <c r="W108"/>
      <c r="X108"/>
      <c r="Y108"/>
      <c r="Z108"/>
      <c r="AA108"/>
      <c r="AB108"/>
    </row>
    <row r="109" spans="1:28">
      <c r="B109" s="7" t="str">
        <f t="shared" si="9"/>
        <v/>
      </c>
      <c r="H109" s="31" t="str">
        <f t="shared" si="10"/>
        <v/>
      </c>
      <c r="I109" s="32" t="str">
        <f t="shared" si="10"/>
        <v/>
      </c>
      <c r="J109" s="32" t="str">
        <f t="shared" si="10"/>
        <v/>
      </c>
      <c r="K109" s="30" t="str">
        <f t="shared" si="10"/>
        <v/>
      </c>
      <c r="T109"/>
      <c r="U109"/>
      <c r="V109"/>
      <c r="W109"/>
      <c r="X109"/>
      <c r="Y109"/>
      <c r="Z109"/>
      <c r="AA109"/>
      <c r="AB109"/>
    </row>
    <row r="110" spans="1:28">
      <c r="B110" s="7" t="str">
        <f t="shared" si="9"/>
        <v/>
      </c>
      <c r="H110" s="31" t="str">
        <f t="shared" si="10"/>
        <v/>
      </c>
      <c r="I110" s="32" t="str">
        <f t="shared" si="10"/>
        <v/>
      </c>
      <c r="J110" s="32" t="str">
        <f t="shared" si="10"/>
        <v/>
      </c>
      <c r="K110" s="30" t="str">
        <f t="shared" si="10"/>
        <v/>
      </c>
      <c r="T110"/>
      <c r="U110"/>
      <c r="V110"/>
      <c r="W110"/>
      <c r="X110"/>
      <c r="Y110"/>
      <c r="Z110"/>
      <c r="AA110"/>
      <c r="AB110"/>
    </row>
    <row r="111" spans="1:28">
      <c r="B111" s="7" t="str">
        <f t="shared" si="9"/>
        <v/>
      </c>
      <c r="H111" s="31" t="str">
        <f t="shared" si="10"/>
        <v/>
      </c>
      <c r="I111" s="32" t="str">
        <f t="shared" si="10"/>
        <v/>
      </c>
      <c r="J111" s="32" t="str">
        <f t="shared" si="10"/>
        <v/>
      </c>
      <c r="K111" s="30" t="str">
        <f t="shared" si="10"/>
        <v/>
      </c>
      <c r="T111"/>
      <c r="U111"/>
      <c r="V111"/>
      <c r="W111"/>
      <c r="X111"/>
      <c r="Y111"/>
      <c r="Z111"/>
      <c r="AA111"/>
      <c r="AB111"/>
    </row>
    <row r="112" spans="1:28">
      <c r="B112" s="7" t="str">
        <f t="shared" si="9"/>
        <v/>
      </c>
      <c r="H112" s="31" t="str">
        <f t="shared" si="10"/>
        <v/>
      </c>
      <c r="I112" s="32" t="str">
        <f t="shared" si="10"/>
        <v/>
      </c>
      <c r="J112" s="32" t="str">
        <f t="shared" si="10"/>
        <v/>
      </c>
      <c r="K112" s="30" t="str">
        <f t="shared" si="10"/>
        <v/>
      </c>
      <c r="T112"/>
      <c r="U112"/>
      <c r="V112"/>
      <c r="W112"/>
      <c r="X112"/>
      <c r="Y112"/>
      <c r="Z112"/>
      <c r="AA112"/>
      <c r="AB112"/>
    </row>
    <row r="113" spans="2:28">
      <c r="B113" s="7" t="str">
        <f t="shared" si="9"/>
        <v/>
      </c>
      <c r="H113" s="31" t="str">
        <f t="shared" si="10"/>
        <v/>
      </c>
      <c r="I113" s="32" t="str">
        <f t="shared" si="10"/>
        <v/>
      </c>
      <c r="J113" s="32" t="str">
        <f t="shared" si="10"/>
        <v/>
      </c>
      <c r="K113" s="30" t="str">
        <f t="shared" si="10"/>
        <v/>
      </c>
      <c r="T113"/>
      <c r="U113"/>
      <c r="V113"/>
      <c r="W113"/>
      <c r="X113"/>
      <c r="Y113"/>
      <c r="Z113"/>
      <c r="AA113"/>
      <c r="AB113"/>
    </row>
    <row r="114" spans="2:28">
      <c r="B114" s="7" t="str">
        <f t="shared" si="9"/>
        <v/>
      </c>
      <c r="H114" s="31" t="str">
        <f t="shared" si="10"/>
        <v/>
      </c>
      <c r="I114" s="32" t="str">
        <f t="shared" si="10"/>
        <v/>
      </c>
      <c r="J114" s="32" t="str">
        <f t="shared" si="10"/>
        <v/>
      </c>
      <c r="K114" s="30" t="str">
        <f t="shared" si="10"/>
        <v/>
      </c>
    </row>
    <row r="115" spans="2:28">
      <c r="B115" s="7" t="str">
        <f t="shared" si="9"/>
        <v/>
      </c>
      <c r="H115" s="31" t="str">
        <f t="shared" si="10"/>
        <v/>
      </c>
      <c r="I115" s="32" t="str">
        <f t="shared" si="10"/>
        <v/>
      </c>
      <c r="J115" s="32" t="str">
        <f t="shared" si="10"/>
        <v/>
      </c>
      <c r="K115" s="30" t="str">
        <f t="shared" si="10"/>
        <v/>
      </c>
    </row>
    <row r="116" spans="2:28">
      <c r="B116" s="7" t="str">
        <f t="shared" si="9"/>
        <v/>
      </c>
      <c r="H116" s="31" t="str">
        <f t="shared" si="10"/>
        <v/>
      </c>
      <c r="I116" s="32" t="str">
        <f t="shared" si="10"/>
        <v/>
      </c>
      <c r="J116" s="32" t="str">
        <f t="shared" si="10"/>
        <v/>
      </c>
      <c r="K116" s="30" t="str">
        <f t="shared" si="10"/>
        <v/>
      </c>
    </row>
    <row r="117" spans="2:28">
      <c r="B117" s="7" t="str">
        <f t="shared" si="9"/>
        <v/>
      </c>
      <c r="H117" s="31" t="str">
        <f t="shared" si="10"/>
        <v/>
      </c>
      <c r="I117" s="32" t="str">
        <f t="shared" si="10"/>
        <v/>
      </c>
      <c r="J117" s="32" t="str">
        <f t="shared" si="10"/>
        <v/>
      </c>
      <c r="K117" s="30" t="str">
        <f t="shared" si="10"/>
        <v/>
      </c>
    </row>
    <row r="118" spans="2:28">
      <c r="B118" s="7" t="str">
        <f t="shared" si="9"/>
        <v/>
      </c>
      <c r="H118" s="31" t="str">
        <f t="shared" si="10"/>
        <v/>
      </c>
      <c r="I118" s="32" t="str">
        <f t="shared" si="10"/>
        <v/>
      </c>
      <c r="J118" s="32" t="str">
        <f t="shared" si="10"/>
        <v/>
      </c>
      <c r="K118" s="30" t="str">
        <f t="shared" si="10"/>
        <v/>
      </c>
    </row>
    <row r="119" spans="2:28">
      <c r="B119" s="7" t="str">
        <f t="shared" si="9"/>
        <v/>
      </c>
      <c r="H119" s="31" t="str">
        <f t="shared" si="10"/>
        <v/>
      </c>
      <c r="I119" s="32" t="str">
        <f t="shared" si="10"/>
        <v/>
      </c>
      <c r="J119" s="32" t="str">
        <f t="shared" si="10"/>
        <v/>
      </c>
      <c r="K119" s="30" t="str">
        <f t="shared" si="10"/>
        <v/>
      </c>
    </row>
    <row r="120" spans="2:28">
      <c r="B120" s="7" t="str">
        <f t="shared" si="9"/>
        <v/>
      </c>
      <c r="H120" s="31" t="str">
        <f t="shared" si="10"/>
        <v/>
      </c>
      <c r="I120" s="32" t="str">
        <f t="shared" si="10"/>
        <v/>
      </c>
      <c r="J120" s="32" t="str">
        <f t="shared" si="10"/>
        <v/>
      </c>
      <c r="K120" s="30" t="str">
        <f t="shared" si="10"/>
        <v/>
      </c>
    </row>
    <row r="121" spans="2:28">
      <c r="B121" s="6"/>
    </row>
    <row r="122" spans="2:28">
      <c r="B122" s="6"/>
    </row>
    <row r="123" spans="2:28">
      <c r="B123" s="6"/>
    </row>
    <row r="124" spans="2:28">
      <c r="B124" s="6"/>
    </row>
    <row r="125" spans="2:28">
      <c r="B125" s="6"/>
    </row>
    <row r="126" spans="2:28">
      <c r="B126" s="6"/>
    </row>
    <row r="127" spans="2:28">
      <c r="B127" s="6"/>
    </row>
    <row r="128" spans="2:28">
      <c r="B128" s="6"/>
    </row>
    <row r="129" spans="2:2">
      <c r="B129" s="6"/>
    </row>
    <row r="130" spans="2:2">
      <c r="B130" s="6"/>
    </row>
    <row r="131" spans="2:2">
      <c r="B131" s="6"/>
    </row>
    <row r="132" spans="2:2">
      <c r="B132" s="6"/>
    </row>
    <row r="133" spans="2:2">
      <c r="B133" s="6"/>
    </row>
    <row r="134" spans="2:2">
      <c r="B134" s="6"/>
    </row>
    <row r="135" spans="2:2">
      <c r="B135" s="6"/>
    </row>
    <row r="136" spans="2:2">
      <c r="B136" s="6"/>
    </row>
    <row r="137" spans="2:2">
      <c r="B137" s="6"/>
    </row>
    <row r="138" spans="2:2">
      <c r="B138" s="6"/>
    </row>
    <row r="139" spans="2:2">
      <c r="B139" s="6"/>
    </row>
    <row r="140" spans="2:2">
      <c r="B140" s="6"/>
    </row>
    <row r="141" spans="2:2">
      <c r="B141" s="6"/>
    </row>
    <row r="142" spans="2:2">
      <c r="B142" s="6"/>
    </row>
    <row r="143" spans="2:2">
      <c r="B143" s="6"/>
    </row>
    <row r="144" spans="2:2">
      <c r="B144" s="6"/>
    </row>
    <row r="145" spans="2:2">
      <c r="B145" s="6"/>
    </row>
    <row r="146" spans="2:2">
      <c r="B146" s="6"/>
    </row>
    <row r="147" spans="2:2">
      <c r="B147" s="6"/>
    </row>
    <row r="148" spans="2:2">
      <c r="B148" s="6"/>
    </row>
    <row r="149" spans="2:2">
      <c r="B149" s="6"/>
    </row>
    <row r="150" spans="2:2">
      <c r="B150" s="6"/>
    </row>
    <row r="151" spans="2:2">
      <c r="B151" s="6"/>
    </row>
    <row r="152" spans="2:2">
      <c r="B152" s="6"/>
    </row>
    <row r="153" spans="2:2">
      <c r="B153" s="6"/>
    </row>
  </sheetData>
  <mergeCells count="4">
    <mergeCell ref="A1:G1"/>
    <mergeCell ref="H1:K1"/>
    <mergeCell ref="M1:Q1"/>
    <mergeCell ref="S15:S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Modelo Preenchido</vt:lpstr>
      <vt:lpstr>Preenchido (Original)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MM</dc:creator>
  <cp:lastModifiedBy>João</cp:lastModifiedBy>
  <dcterms:created xsi:type="dcterms:W3CDTF">2018-09-25T22:58:31Z</dcterms:created>
  <dcterms:modified xsi:type="dcterms:W3CDTF">2018-09-27T05:39:23Z</dcterms:modified>
</cp:coreProperties>
</file>