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104FCC14-6315-427A-B725-AC115B4D3493}" xr6:coauthVersionLast="41" xr6:coauthVersionMax="41" xr10:uidLastSave="{00000000-0000-0000-0000-000000000000}"/>
  <bookViews>
    <workbookView xWindow="-108" yWindow="-108" windowWidth="23256" windowHeight="12576" tabRatio="805" activeTab="5" xr2:uid="{00000000-000D-0000-FFFF-FFFF00000000}"/>
  </bookViews>
  <sheets>
    <sheet name="Cadastro" sheetId="1" r:id="rId1"/>
    <sheet name="Vendas" sheetId="2" r:id="rId2"/>
    <sheet name="Entradas" sheetId="3" r:id="rId3"/>
    <sheet name="Minhas Entradas e Saidas" sheetId="6" r:id="rId4"/>
    <sheet name="Dados Mês a Mês" sheetId="5" r:id="rId5"/>
    <sheet name="Orçamento Mês" sheetId="7" r:id="rId6"/>
    <sheet name="Parcelas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7" l="1"/>
  <c r="D3" i="7"/>
  <c r="E3" i="7"/>
  <c r="F3" i="7"/>
  <c r="G3" i="7"/>
  <c r="H3" i="7"/>
  <c r="I3" i="7"/>
  <c r="J3" i="7"/>
  <c r="K3" i="7"/>
  <c r="L3" i="7"/>
  <c r="M3" i="7"/>
  <c r="N3" i="7"/>
  <c r="C4" i="7"/>
  <c r="D4" i="7"/>
  <c r="E4" i="7"/>
  <c r="F4" i="7"/>
  <c r="G4" i="7"/>
  <c r="H4" i="7"/>
  <c r="I4" i="7"/>
  <c r="J4" i="7"/>
  <c r="K4" i="7"/>
  <c r="L4" i="7"/>
  <c r="M4" i="7"/>
  <c r="N4" i="7"/>
  <c r="C5" i="7"/>
  <c r="D5" i="7"/>
  <c r="E5" i="7"/>
  <c r="F5" i="7"/>
  <c r="G5" i="7"/>
  <c r="H5" i="7"/>
  <c r="I5" i="7"/>
  <c r="J5" i="7"/>
  <c r="K5" i="7"/>
  <c r="L5" i="7"/>
  <c r="M5" i="7"/>
  <c r="N5" i="7"/>
  <c r="C6" i="7"/>
  <c r="D6" i="7"/>
  <c r="E6" i="7"/>
  <c r="F6" i="7"/>
  <c r="G6" i="7"/>
  <c r="H6" i="7"/>
  <c r="I6" i="7"/>
  <c r="J6" i="7"/>
  <c r="K6" i="7"/>
  <c r="L6" i="7"/>
  <c r="M6" i="7"/>
  <c r="N6" i="7"/>
  <c r="C7" i="7"/>
  <c r="D7" i="7"/>
  <c r="E7" i="7"/>
  <c r="F7" i="7"/>
  <c r="G7" i="7"/>
  <c r="H7" i="7"/>
  <c r="I7" i="7"/>
  <c r="J7" i="7"/>
  <c r="K7" i="7"/>
  <c r="L7" i="7"/>
  <c r="M7" i="7"/>
  <c r="N7" i="7"/>
  <c r="C8" i="7"/>
  <c r="D8" i="7"/>
  <c r="E8" i="7"/>
  <c r="F8" i="7"/>
  <c r="G8" i="7"/>
  <c r="H8" i="7"/>
  <c r="I8" i="7"/>
  <c r="J8" i="7"/>
  <c r="K8" i="7"/>
  <c r="L8" i="7"/>
  <c r="M8" i="7"/>
  <c r="N8" i="7"/>
  <c r="C9" i="7"/>
  <c r="D9" i="7"/>
  <c r="E9" i="7"/>
  <c r="F9" i="7"/>
  <c r="G9" i="7"/>
  <c r="H9" i="7"/>
  <c r="I9" i="7"/>
  <c r="J9" i="7"/>
  <c r="K9" i="7"/>
  <c r="L9" i="7"/>
  <c r="M9" i="7"/>
  <c r="N9" i="7"/>
  <c r="C10" i="7"/>
  <c r="D10" i="7"/>
  <c r="E10" i="7"/>
  <c r="F10" i="7"/>
  <c r="G10" i="7"/>
  <c r="H10" i="7"/>
  <c r="I10" i="7"/>
  <c r="J10" i="7"/>
  <c r="K10" i="7"/>
  <c r="L10" i="7"/>
  <c r="M10" i="7"/>
  <c r="N10" i="7"/>
  <c r="D2" i="7"/>
  <c r="E2" i="7"/>
  <c r="F2" i="7"/>
  <c r="G2" i="7"/>
  <c r="H2" i="7"/>
  <c r="I2" i="7"/>
  <c r="J2" i="7"/>
  <c r="K2" i="7"/>
  <c r="L2" i="7"/>
  <c r="M2" i="7"/>
  <c r="N2" i="7"/>
  <c r="C2" i="7"/>
  <c r="C11" i="7"/>
  <c r="G15" i="7" l="1"/>
  <c r="H15" i="7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" i="2"/>
  <c r="H31" i="9"/>
  <c r="F32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30" i="9"/>
  <c r="H28" i="9"/>
  <c r="H29" i="9"/>
  <c r="F12" i="3" l="1"/>
  <c r="C28" i="9" l="1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0" i="9"/>
  <c r="D40" i="9" s="1"/>
  <c r="C41" i="9"/>
  <c r="D41" i="9" s="1"/>
  <c r="C42" i="9"/>
  <c r="D42" i="9" s="1"/>
  <c r="C43" i="9"/>
  <c r="D43" i="9" s="1"/>
  <c r="C44" i="9"/>
  <c r="D44" i="9" s="1"/>
  <c r="C45" i="9"/>
  <c r="D45" i="9" s="1"/>
  <c r="C46" i="9"/>
  <c r="D46" i="9" s="1"/>
  <c r="C47" i="9"/>
  <c r="D47" i="9" s="1"/>
  <c r="C48" i="9"/>
  <c r="D48" i="9" s="1"/>
  <c r="C49" i="9"/>
  <c r="D49" i="9" s="1"/>
  <c r="C50" i="9"/>
  <c r="D50" i="9" s="1"/>
  <c r="C51" i="9"/>
  <c r="D51" i="9" s="1"/>
  <c r="C52" i="9"/>
  <c r="D52" i="9" s="1"/>
  <c r="C53" i="9"/>
  <c r="D53" i="9" s="1"/>
  <c r="C54" i="9"/>
  <c r="D54" i="9" s="1"/>
  <c r="C55" i="9"/>
  <c r="D55" i="9" s="1"/>
  <c r="C56" i="9"/>
  <c r="D56" i="9" s="1"/>
  <c r="C57" i="9"/>
  <c r="D57" i="9" s="1"/>
  <c r="C58" i="9"/>
  <c r="D58" i="9" s="1"/>
  <c r="C59" i="9"/>
  <c r="D59" i="9" s="1"/>
  <c r="C60" i="9"/>
  <c r="D60" i="9" s="1"/>
  <c r="C61" i="9"/>
  <c r="D61" i="9" s="1"/>
  <c r="C62" i="9"/>
  <c r="D62" i="9" s="1"/>
  <c r="C63" i="9"/>
  <c r="D63" i="9" s="1"/>
  <c r="C64" i="9"/>
  <c r="D64" i="9" s="1"/>
  <c r="C65" i="9"/>
  <c r="D65" i="9" s="1"/>
  <c r="C66" i="9"/>
  <c r="D66" i="9" s="1"/>
  <c r="C67" i="9"/>
  <c r="D67" i="9" s="1"/>
  <c r="C68" i="9"/>
  <c r="D68" i="9" s="1"/>
  <c r="C69" i="9"/>
  <c r="D69" i="9" s="1"/>
  <c r="C70" i="9"/>
  <c r="D70" i="9" s="1"/>
  <c r="C71" i="9"/>
  <c r="D71" i="9" s="1"/>
  <c r="C72" i="9"/>
  <c r="D72" i="9" s="1"/>
  <c r="C73" i="9"/>
  <c r="D73" i="9" s="1"/>
  <c r="C74" i="9"/>
  <c r="D74" i="9" s="1"/>
  <c r="C75" i="9"/>
  <c r="D75" i="9" s="1"/>
  <c r="C76" i="9"/>
  <c r="D76" i="9" s="1"/>
  <c r="C77" i="9"/>
  <c r="D77" i="9" s="1"/>
  <c r="C78" i="9"/>
  <c r="D78" i="9" s="1"/>
  <c r="C79" i="9"/>
  <c r="D79" i="9" s="1"/>
  <c r="C80" i="9"/>
  <c r="D80" i="9" s="1"/>
  <c r="C81" i="9"/>
  <c r="D81" i="9" s="1"/>
  <c r="C82" i="9"/>
  <c r="D82" i="9" s="1"/>
  <c r="C83" i="9"/>
  <c r="D83" i="9" s="1"/>
  <c r="C84" i="9"/>
  <c r="D84" i="9" s="1"/>
  <c r="C85" i="9"/>
  <c r="D85" i="9" s="1"/>
  <c r="C86" i="9"/>
  <c r="D86" i="9" s="1"/>
  <c r="C87" i="9"/>
  <c r="D87" i="9" s="1"/>
  <c r="C88" i="9"/>
  <c r="D88" i="9" s="1"/>
  <c r="C89" i="9"/>
  <c r="D89" i="9" s="1"/>
  <c r="C90" i="9"/>
  <c r="D90" i="9" s="1"/>
  <c r="C91" i="9"/>
  <c r="D91" i="9" s="1"/>
  <c r="C92" i="9"/>
  <c r="D92" i="9" s="1"/>
  <c r="C93" i="9"/>
  <c r="D93" i="9" s="1"/>
  <c r="C94" i="9"/>
  <c r="D94" i="9" s="1"/>
  <c r="C95" i="9"/>
  <c r="D95" i="9" s="1"/>
  <c r="C96" i="9"/>
  <c r="D96" i="9" s="1"/>
  <c r="C97" i="9"/>
  <c r="D97" i="9" s="1"/>
  <c r="C98" i="9"/>
  <c r="D98" i="9" s="1"/>
  <c r="C99" i="9"/>
  <c r="D99" i="9" s="1"/>
  <c r="C100" i="9"/>
  <c r="D100" i="9" s="1"/>
  <c r="C101" i="9"/>
  <c r="D101" i="9" s="1"/>
  <c r="C102" i="9"/>
  <c r="D102" i="9" s="1"/>
  <c r="C103" i="9"/>
  <c r="D103" i="9" s="1"/>
  <c r="C104" i="9"/>
  <c r="D104" i="9" s="1"/>
  <c r="C105" i="9"/>
  <c r="D105" i="9" s="1"/>
  <c r="C106" i="9"/>
  <c r="D106" i="9" s="1"/>
  <c r="C107" i="9"/>
  <c r="D107" i="9" s="1"/>
  <c r="C108" i="9"/>
  <c r="D108" i="9" s="1"/>
  <c r="C109" i="9"/>
  <c r="D109" i="9" s="1"/>
  <c r="C110" i="9"/>
  <c r="D110" i="9" s="1"/>
  <c r="C111" i="9"/>
  <c r="D111" i="9" s="1"/>
  <c r="C112" i="9"/>
  <c r="D112" i="9" s="1"/>
  <c r="C113" i="9"/>
  <c r="D113" i="9" s="1"/>
  <c r="C114" i="9"/>
  <c r="D114" i="9" s="1"/>
  <c r="C115" i="9"/>
  <c r="D115" i="9" s="1"/>
  <c r="C116" i="9"/>
  <c r="D116" i="9" s="1"/>
  <c r="C117" i="9"/>
  <c r="D117" i="9" s="1"/>
  <c r="C118" i="9"/>
  <c r="D118" i="9" s="1"/>
  <c r="C119" i="9"/>
  <c r="D119" i="9" s="1"/>
  <c r="C120" i="9"/>
  <c r="D120" i="9" s="1"/>
  <c r="F28" i="9"/>
  <c r="G28" i="9" s="1"/>
  <c r="F29" i="9"/>
  <c r="G29" i="9" s="1"/>
  <c r="F30" i="9"/>
  <c r="G30" i="9" s="1"/>
  <c r="F31" i="9"/>
  <c r="G31" i="9" s="1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F57" i="9"/>
  <c r="G57" i="9" s="1"/>
  <c r="I57" i="9" s="1"/>
  <c r="F58" i="9"/>
  <c r="F59" i="9"/>
  <c r="G59" i="9" s="1"/>
  <c r="F60" i="9"/>
  <c r="F61" i="9"/>
  <c r="G61" i="9" s="1"/>
  <c r="I61" i="9" s="1"/>
  <c r="F62" i="9"/>
  <c r="F63" i="9"/>
  <c r="G63" i="9" s="1"/>
  <c r="F64" i="9"/>
  <c r="F65" i="9"/>
  <c r="G65" i="9" s="1"/>
  <c r="I65" i="9" s="1"/>
  <c r="F66" i="9"/>
  <c r="F67" i="9"/>
  <c r="G67" i="9" s="1"/>
  <c r="F68" i="9"/>
  <c r="F69" i="9"/>
  <c r="G69" i="9" s="1"/>
  <c r="I69" i="9" s="1"/>
  <c r="F70" i="9"/>
  <c r="F71" i="9"/>
  <c r="G71" i="9" s="1"/>
  <c r="F72" i="9"/>
  <c r="F73" i="9"/>
  <c r="G73" i="9" s="1"/>
  <c r="I73" i="9" s="1"/>
  <c r="F74" i="9"/>
  <c r="F75" i="9"/>
  <c r="G75" i="9" s="1"/>
  <c r="I75" i="9" s="1"/>
  <c r="F76" i="9"/>
  <c r="F77" i="9"/>
  <c r="G77" i="9" s="1"/>
  <c r="I77" i="9" s="1"/>
  <c r="F78" i="9"/>
  <c r="F79" i="9"/>
  <c r="G79" i="9" s="1"/>
  <c r="I79" i="9" s="1"/>
  <c r="F80" i="9"/>
  <c r="F81" i="9"/>
  <c r="G81" i="9" s="1"/>
  <c r="I81" i="9" s="1"/>
  <c r="F82" i="9"/>
  <c r="F83" i="9"/>
  <c r="G83" i="9" s="1"/>
  <c r="I83" i="9" s="1"/>
  <c r="F84" i="9"/>
  <c r="F85" i="9"/>
  <c r="G85" i="9" s="1"/>
  <c r="I85" i="9" s="1"/>
  <c r="F86" i="9"/>
  <c r="F87" i="9"/>
  <c r="G87" i="9" s="1"/>
  <c r="I87" i="9" s="1"/>
  <c r="F88" i="9"/>
  <c r="F89" i="9"/>
  <c r="G89" i="9" s="1"/>
  <c r="I89" i="9" s="1"/>
  <c r="F90" i="9"/>
  <c r="F91" i="9"/>
  <c r="G91" i="9" s="1"/>
  <c r="I91" i="9" s="1"/>
  <c r="F92" i="9"/>
  <c r="F93" i="9"/>
  <c r="G93" i="9" s="1"/>
  <c r="I93" i="9" s="1"/>
  <c r="F94" i="9"/>
  <c r="F95" i="9"/>
  <c r="G95" i="9" s="1"/>
  <c r="I95" i="9" s="1"/>
  <c r="F96" i="9"/>
  <c r="F97" i="9"/>
  <c r="G97" i="9" s="1"/>
  <c r="I97" i="9" s="1"/>
  <c r="F98" i="9"/>
  <c r="F99" i="9"/>
  <c r="G99" i="9" s="1"/>
  <c r="I99" i="9" s="1"/>
  <c r="F100" i="9"/>
  <c r="F101" i="9"/>
  <c r="G101" i="9" s="1"/>
  <c r="I101" i="9" s="1"/>
  <c r="F102" i="9"/>
  <c r="F103" i="9"/>
  <c r="G103" i="9" s="1"/>
  <c r="I103" i="9" s="1"/>
  <c r="F104" i="9"/>
  <c r="F105" i="9"/>
  <c r="G105" i="9" s="1"/>
  <c r="I105" i="9" s="1"/>
  <c r="F106" i="9"/>
  <c r="F107" i="9"/>
  <c r="G107" i="9" s="1"/>
  <c r="I107" i="9" s="1"/>
  <c r="F108" i="9"/>
  <c r="F109" i="9"/>
  <c r="G109" i="9" s="1"/>
  <c r="I109" i="9" s="1"/>
  <c r="F110" i="9"/>
  <c r="F111" i="9"/>
  <c r="G111" i="9" s="1"/>
  <c r="I111" i="9" s="1"/>
  <c r="F112" i="9"/>
  <c r="F113" i="9"/>
  <c r="G113" i="9" s="1"/>
  <c r="I113" i="9" s="1"/>
  <c r="F114" i="9"/>
  <c r="F115" i="9"/>
  <c r="G115" i="9" s="1"/>
  <c r="I115" i="9" s="1"/>
  <c r="F116" i="9"/>
  <c r="F117" i="9"/>
  <c r="G117" i="9" s="1"/>
  <c r="I117" i="9" s="1"/>
  <c r="F118" i="9"/>
  <c r="F119" i="9"/>
  <c r="G119" i="9" s="1"/>
  <c r="I119" i="9" s="1"/>
  <c r="F120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G58" i="9"/>
  <c r="G60" i="9"/>
  <c r="G62" i="9"/>
  <c r="G64" i="9"/>
  <c r="G66" i="9"/>
  <c r="G68" i="9"/>
  <c r="G70" i="9"/>
  <c r="G72" i="9"/>
  <c r="G74" i="9"/>
  <c r="G76" i="9"/>
  <c r="G78" i="9"/>
  <c r="G80" i="9"/>
  <c r="G82" i="9"/>
  <c r="G84" i="9"/>
  <c r="G86" i="9"/>
  <c r="G88" i="9"/>
  <c r="G90" i="9"/>
  <c r="G92" i="9"/>
  <c r="G94" i="9"/>
  <c r="G96" i="9"/>
  <c r="G98" i="9"/>
  <c r="G100" i="9"/>
  <c r="G102" i="9"/>
  <c r="G104" i="9"/>
  <c r="G106" i="9"/>
  <c r="G108" i="9"/>
  <c r="G110" i="9"/>
  <c r="G112" i="9"/>
  <c r="G114" i="9"/>
  <c r="G116" i="9"/>
  <c r="G118" i="9"/>
  <c r="G120" i="9"/>
  <c r="I29" i="9"/>
  <c r="I31" i="9"/>
  <c r="I33" i="9"/>
  <c r="I35" i="9"/>
  <c r="I37" i="9"/>
  <c r="I39" i="9"/>
  <c r="I41" i="9"/>
  <c r="I43" i="9"/>
  <c r="I45" i="9"/>
  <c r="I47" i="9"/>
  <c r="I49" i="9"/>
  <c r="I51" i="9"/>
  <c r="I53" i="9"/>
  <c r="I55" i="9"/>
  <c r="I59" i="9"/>
  <c r="I63" i="9"/>
  <c r="I67" i="9"/>
  <c r="I71" i="9"/>
  <c r="I110" i="9"/>
  <c r="I114" i="9"/>
  <c r="I118" i="9"/>
  <c r="H17" i="9"/>
  <c r="H18" i="9"/>
  <c r="H19" i="9"/>
  <c r="H20" i="9"/>
  <c r="H21" i="9"/>
  <c r="H22" i="9"/>
  <c r="H23" i="9"/>
  <c r="H24" i="9"/>
  <c r="H25" i="9"/>
  <c r="H26" i="9"/>
  <c r="H27" i="9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F3" i="9"/>
  <c r="G3" i="9" s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3" i="9"/>
  <c r="C4" i="9"/>
  <c r="D4" i="9" s="1"/>
  <c r="C5" i="9"/>
  <c r="D5" i="9" s="1"/>
  <c r="C6" i="9"/>
  <c r="D6" i="9" s="1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3" i="9"/>
  <c r="D3" i="9" s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I120" i="9" l="1"/>
  <c r="I116" i="9"/>
  <c r="I112" i="9"/>
  <c r="I108" i="9"/>
  <c r="I106" i="9"/>
  <c r="I104" i="9"/>
  <c r="I102" i="9"/>
  <c r="I100" i="9"/>
  <c r="I98" i="9"/>
  <c r="I96" i="9"/>
  <c r="I94" i="9"/>
  <c r="I92" i="9"/>
  <c r="I90" i="9"/>
  <c r="I88" i="9"/>
  <c r="I86" i="9"/>
  <c r="I84" i="9"/>
  <c r="I82" i="9"/>
  <c r="I80" i="9"/>
  <c r="I78" i="9"/>
  <c r="I76" i="9"/>
  <c r="I74" i="9"/>
  <c r="I72" i="9"/>
  <c r="I70" i="9"/>
  <c r="I68" i="9"/>
  <c r="I66" i="9"/>
  <c r="I64" i="9"/>
  <c r="I62" i="9"/>
  <c r="I60" i="9"/>
  <c r="I58" i="9"/>
  <c r="I56" i="9"/>
  <c r="I54" i="9"/>
  <c r="I52" i="9"/>
  <c r="I50" i="9"/>
  <c r="I48" i="9"/>
  <c r="I46" i="9"/>
  <c r="I44" i="9"/>
  <c r="I42" i="9"/>
  <c r="I40" i="9"/>
  <c r="I38" i="9"/>
  <c r="I36" i="9"/>
  <c r="I34" i="9"/>
  <c r="I32" i="9"/>
  <c r="I30" i="9"/>
  <c r="I3" i="9"/>
  <c r="I28" i="9"/>
  <c r="F3" i="3" l="1"/>
  <c r="D4" i="2" l="1"/>
  <c r="D3" i="2"/>
  <c r="D19" i="2"/>
  <c r="I19" i="2"/>
  <c r="O19" i="5"/>
  <c r="N19" i="5"/>
  <c r="M19" i="5"/>
  <c r="L19" i="5"/>
  <c r="K19" i="5"/>
  <c r="J19" i="5"/>
  <c r="I19" i="5"/>
  <c r="H19" i="5"/>
  <c r="G19" i="5"/>
  <c r="O18" i="5"/>
  <c r="N18" i="5"/>
  <c r="M18" i="5"/>
  <c r="L18" i="5"/>
  <c r="K18" i="5"/>
  <c r="J18" i="5"/>
  <c r="I18" i="5"/>
  <c r="H18" i="5"/>
  <c r="G18" i="5"/>
  <c r="F18" i="5"/>
  <c r="E18" i="5"/>
  <c r="D18" i="5"/>
  <c r="F19" i="5"/>
  <c r="O27" i="5"/>
  <c r="O26" i="5"/>
  <c r="O25" i="5"/>
  <c r="O24" i="5"/>
  <c r="O23" i="5"/>
  <c r="O22" i="5"/>
  <c r="O21" i="5"/>
  <c r="N27" i="5"/>
  <c r="N26" i="5"/>
  <c r="N25" i="5"/>
  <c r="N24" i="5"/>
  <c r="N23" i="5"/>
  <c r="N22" i="5"/>
  <c r="N21" i="5"/>
  <c r="M27" i="5"/>
  <c r="M26" i="5"/>
  <c r="M25" i="5"/>
  <c r="M24" i="5"/>
  <c r="M23" i="5"/>
  <c r="M22" i="5"/>
  <c r="M21" i="5"/>
  <c r="L27" i="5"/>
  <c r="L26" i="5"/>
  <c r="L25" i="5"/>
  <c r="L24" i="5"/>
  <c r="L23" i="5"/>
  <c r="L22" i="5"/>
  <c r="L21" i="5"/>
  <c r="K27" i="5"/>
  <c r="J27" i="5"/>
  <c r="J26" i="5"/>
  <c r="J25" i="5"/>
  <c r="J24" i="5"/>
  <c r="J23" i="5"/>
  <c r="J22" i="5"/>
  <c r="J21" i="5"/>
  <c r="I27" i="5"/>
  <c r="I26" i="5"/>
  <c r="I25" i="5"/>
  <c r="I24" i="5"/>
  <c r="I23" i="5"/>
  <c r="I22" i="5"/>
  <c r="I21" i="5"/>
  <c r="H26" i="5"/>
  <c r="H25" i="5"/>
  <c r="H24" i="5"/>
  <c r="H23" i="5"/>
  <c r="H22" i="5"/>
  <c r="H21" i="5"/>
  <c r="H27" i="5"/>
  <c r="G27" i="5"/>
  <c r="G26" i="5"/>
  <c r="G25" i="5"/>
  <c r="G24" i="5"/>
  <c r="G23" i="5"/>
  <c r="G22" i="5"/>
  <c r="G21" i="5"/>
  <c r="E27" i="5"/>
  <c r="E26" i="5"/>
  <c r="E25" i="5"/>
  <c r="E24" i="5"/>
  <c r="E23" i="5"/>
  <c r="E22" i="5"/>
  <c r="E21" i="5"/>
  <c r="D27" i="5"/>
  <c r="D26" i="5"/>
  <c r="D25" i="5"/>
  <c r="D24" i="5"/>
  <c r="D23" i="5"/>
  <c r="D22" i="5"/>
  <c r="D21" i="5"/>
  <c r="F27" i="5"/>
  <c r="F26" i="5"/>
  <c r="F25" i="5"/>
  <c r="F21" i="5"/>
  <c r="F24" i="5"/>
  <c r="F23" i="5"/>
  <c r="F22" i="5"/>
  <c r="P18" i="5" l="1"/>
  <c r="F29" i="5"/>
  <c r="D36" i="6" l="1"/>
  <c r="D18" i="6"/>
  <c r="D16" i="6"/>
  <c r="D3" i="6"/>
  <c r="D17" i="2"/>
  <c r="D15" i="2"/>
  <c r="D26" i="2"/>
  <c r="D25" i="2"/>
  <c r="D6" i="2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3" i="2"/>
  <c r="L4" i="3"/>
  <c r="L5" i="3"/>
  <c r="L6" i="3"/>
  <c r="L3" i="3"/>
  <c r="D5" i="2"/>
  <c r="D7" i="2"/>
  <c r="D8" i="2"/>
  <c r="D9" i="2"/>
  <c r="D10" i="2"/>
  <c r="D11" i="2"/>
  <c r="D12" i="2"/>
  <c r="D13" i="2"/>
  <c r="D14" i="2"/>
  <c r="D16" i="2"/>
  <c r="D18" i="2"/>
  <c r="D20" i="2"/>
  <c r="D21" i="2"/>
  <c r="D22" i="2"/>
  <c r="D23" i="2"/>
  <c r="D24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I17" i="2"/>
  <c r="I15" i="2"/>
  <c r="I26" i="2"/>
  <c r="I25" i="2"/>
  <c r="N6" i="2" l="1"/>
  <c r="G4" i="9"/>
  <c r="I4" i="9" s="1"/>
  <c r="G6" i="9"/>
  <c r="I6" i="9" s="1"/>
  <c r="G8" i="9"/>
  <c r="I8" i="9" s="1"/>
  <c r="G10" i="9"/>
  <c r="I10" i="9" s="1"/>
  <c r="G12" i="9"/>
  <c r="I12" i="9" s="1"/>
  <c r="G15" i="9"/>
  <c r="I15" i="9" s="1"/>
  <c r="G17" i="9"/>
  <c r="I17" i="9" s="1"/>
  <c r="G19" i="9"/>
  <c r="I19" i="9" s="1"/>
  <c r="G21" i="9"/>
  <c r="I21" i="9" s="1"/>
  <c r="G23" i="9"/>
  <c r="I23" i="9" s="1"/>
  <c r="G25" i="9"/>
  <c r="I25" i="9" s="1"/>
  <c r="G27" i="9"/>
  <c r="I27" i="9" s="1"/>
  <c r="G5" i="9"/>
  <c r="I5" i="9" s="1"/>
  <c r="G7" i="9"/>
  <c r="I7" i="9" s="1"/>
  <c r="G9" i="9"/>
  <c r="I9" i="9" s="1"/>
  <c r="G11" i="9"/>
  <c r="I11" i="9" s="1"/>
  <c r="G14" i="9"/>
  <c r="I14" i="9" s="1"/>
  <c r="G18" i="9"/>
  <c r="I18" i="9" s="1"/>
  <c r="G22" i="9"/>
  <c r="I22" i="9" s="1"/>
  <c r="G26" i="9"/>
  <c r="I26" i="9" s="1"/>
  <c r="G13" i="9"/>
  <c r="I13" i="9" s="1"/>
  <c r="G16" i="9"/>
  <c r="I16" i="9" s="1"/>
  <c r="G20" i="9"/>
  <c r="I20" i="9" s="1"/>
  <c r="G24" i="9"/>
  <c r="I24" i="9" s="1"/>
  <c r="D4" i="6"/>
  <c r="D5" i="6"/>
  <c r="D6" i="6"/>
  <c r="D7" i="6"/>
  <c r="D8" i="6"/>
  <c r="D9" i="6"/>
  <c r="D10" i="6"/>
  <c r="D11" i="6"/>
  <c r="D12" i="6"/>
  <c r="D13" i="6"/>
  <c r="D14" i="6"/>
  <c r="D15" i="6"/>
  <c r="D17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C3" i="5"/>
  <c r="C22" i="7" l="1"/>
  <c r="C20" i="7"/>
  <c r="C18" i="7"/>
  <c r="C23" i="7"/>
  <c r="C21" i="7"/>
  <c r="C19" i="7"/>
  <c r="C17" i="7"/>
  <c r="C16" i="7"/>
  <c r="K22" i="5"/>
  <c r="K25" i="5"/>
  <c r="K24" i="5"/>
  <c r="K23" i="5"/>
  <c r="K26" i="5"/>
  <c r="K21" i="5"/>
  <c r="K11" i="7"/>
  <c r="O11" i="5"/>
  <c r="G11" i="5"/>
  <c r="D11" i="5"/>
  <c r="D19" i="5" s="1"/>
  <c r="F11" i="5"/>
  <c r="H11" i="5"/>
  <c r="J11" i="5"/>
  <c r="L11" i="5"/>
  <c r="N11" i="5"/>
  <c r="E11" i="5"/>
  <c r="E19" i="5" s="1"/>
  <c r="I11" i="5"/>
  <c r="K11" i="5"/>
  <c r="M11" i="5"/>
  <c r="C11" i="5"/>
  <c r="C4" i="5"/>
  <c r="P12" i="5"/>
  <c r="P13" i="5"/>
  <c r="P14" i="5"/>
  <c r="P15" i="5"/>
  <c r="P16" i="5"/>
  <c r="P17" i="5"/>
  <c r="F11" i="3"/>
  <c r="I11" i="7" l="1"/>
  <c r="F11" i="7"/>
  <c r="P23" i="5"/>
  <c r="H11" i="7"/>
  <c r="J11" i="7"/>
  <c r="L11" i="7"/>
  <c r="N11" i="7"/>
  <c r="E11" i="7"/>
  <c r="M11" i="7"/>
  <c r="G11" i="7"/>
  <c r="P21" i="5"/>
  <c r="P22" i="5"/>
  <c r="P24" i="5"/>
  <c r="P26" i="5"/>
  <c r="P25" i="5"/>
  <c r="P27" i="5"/>
  <c r="P11" i="5"/>
  <c r="E28" i="5"/>
  <c r="F28" i="5"/>
  <c r="G28" i="5"/>
  <c r="H28" i="5"/>
  <c r="I28" i="5"/>
  <c r="J28" i="5"/>
  <c r="K28" i="5"/>
  <c r="L28" i="5"/>
  <c r="M28" i="5"/>
  <c r="N28" i="5"/>
  <c r="O28" i="5"/>
  <c r="D28" i="5"/>
  <c r="C5" i="5"/>
  <c r="C6" i="5"/>
  <c r="C7" i="5"/>
  <c r="C8" i="5"/>
  <c r="C9" i="5"/>
  <c r="C10" i="5"/>
  <c r="C13" i="5"/>
  <c r="C14" i="5"/>
  <c r="C15" i="5"/>
  <c r="C16" i="5"/>
  <c r="I21" i="2"/>
  <c r="I22" i="2"/>
  <c r="I23" i="2"/>
  <c r="I24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F4" i="3"/>
  <c r="F5" i="3"/>
  <c r="F6" i="3"/>
  <c r="F7" i="3"/>
  <c r="F8" i="3"/>
  <c r="F9" i="3"/>
  <c r="F10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I3" i="2"/>
  <c r="I4" i="2"/>
  <c r="N7" i="2" s="1"/>
  <c r="I5" i="2"/>
  <c r="I6" i="2"/>
  <c r="I7" i="2"/>
  <c r="I8" i="2"/>
  <c r="I9" i="2"/>
  <c r="I10" i="2"/>
  <c r="I11" i="2"/>
  <c r="I12" i="2"/>
  <c r="I13" i="2"/>
  <c r="I14" i="2"/>
  <c r="N10" i="2" s="1"/>
  <c r="I16" i="2"/>
  <c r="I18" i="2"/>
  <c r="I20" i="2"/>
  <c r="E15" i="7" l="1"/>
  <c r="F15" i="7"/>
  <c r="N3" i="2"/>
  <c r="N9" i="2"/>
  <c r="M9" i="3" s="1"/>
  <c r="N4" i="2"/>
  <c r="N5" i="2"/>
  <c r="M3" i="3"/>
  <c r="N8" i="2"/>
  <c r="D3" i="5"/>
  <c r="D10" i="5"/>
  <c r="P28" i="5"/>
  <c r="O10" i="5"/>
  <c r="O8" i="5"/>
  <c r="O6" i="5"/>
  <c r="O4" i="5"/>
  <c r="N10" i="5"/>
  <c r="N8" i="5"/>
  <c r="N6" i="5"/>
  <c r="N4" i="5"/>
  <c r="M10" i="5"/>
  <c r="M8" i="5"/>
  <c r="M6" i="5"/>
  <c r="M4" i="5"/>
  <c r="L10" i="5"/>
  <c r="L8" i="5"/>
  <c r="L6" i="5"/>
  <c r="L4" i="5"/>
  <c r="K10" i="5"/>
  <c r="K8" i="5"/>
  <c r="K6" i="5"/>
  <c r="K4" i="5"/>
  <c r="J10" i="5"/>
  <c r="J8" i="5"/>
  <c r="J6" i="5"/>
  <c r="J4" i="5"/>
  <c r="I10" i="5"/>
  <c r="I8" i="5"/>
  <c r="I6" i="5"/>
  <c r="I4" i="5"/>
  <c r="H10" i="5"/>
  <c r="H8" i="5"/>
  <c r="H7" i="5"/>
  <c r="H4" i="5"/>
  <c r="G8" i="5"/>
  <c r="G9" i="5"/>
  <c r="G6" i="5"/>
  <c r="G3" i="5"/>
  <c r="F10" i="5"/>
  <c r="F8" i="5"/>
  <c r="F6" i="5"/>
  <c r="E10" i="5"/>
  <c r="E8" i="5"/>
  <c r="E6" i="5"/>
  <c r="O9" i="5"/>
  <c r="O7" i="5"/>
  <c r="O5" i="5"/>
  <c r="O3" i="5"/>
  <c r="N9" i="5"/>
  <c r="N7" i="5"/>
  <c r="N5" i="5"/>
  <c r="N3" i="5"/>
  <c r="M9" i="5"/>
  <c r="M7" i="5"/>
  <c r="M5" i="5"/>
  <c r="M3" i="5"/>
  <c r="L9" i="5"/>
  <c r="L7" i="5"/>
  <c r="L5" i="5"/>
  <c r="L3" i="5"/>
  <c r="K9" i="5"/>
  <c r="K7" i="5"/>
  <c r="K5" i="5"/>
  <c r="K3" i="5"/>
  <c r="J9" i="5"/>
  <c r="J7" i="5"/>
  <c r="J5" i="5"/>
  <c r="J3" i="5"/>
  <c r="I9" i="5"/>
  <c r="I7" i="5"/>
  <c r="I5" i="5"/>
  <c r="I3" i="5"/>
  <c r="H9" i="5"/>
  <c r="H6" i="5"/>
  <c r="H5" i="5"/>
  <c r="H3" i="5"/>
  <c r="G10" i="5"/>
  <c r="G7" i="5"/>
  <c r="G5" i="5"/>
  <c r="G4" i="5"/>
  <c r="F9" i="5"/>
  <c r="F7" i="5"/>
  <c r="F5" i="5"/>
  <c r="E9" i="5"/>
  <c r="E7" i="5"/>
  <c r="E5" i="5"/>
  <c r="F4" i="5"/>
  <c r="D8" i="5"/>
  <c r="D6" i="5"/>
  <c r="D4" i="5"/>
  <c r="E3" i="5"/>
  <c r="E4" i="5"/>
  <c r="D9" i="5"/>
  <c r="D7" i="5"/>
  <c r="D5" i="5"/>
  <c r="F3" i="5"/>
  <c r="N10" i="3"/>
  <c r="N9" i="3"/>
  <c r="M10" i="3"/>
  <c r="N5" i="3"/>
  <c r="N8" i="3"/>
  <c r="N3" i="3"/>
  <c r="N6" i="3"/>
  <c r="N7" i="3"/>
  <c r="N4" i="3"/>
  <c r="M4" i="3"/>
  <c r="M6" i="3"/>
  <c r="M8" i="3"/>
  <c r="M5" i="3"/>
  <c r="M7" i="3"/>
  <c r="P8" i="5" l="1"/>
  <c r="P5" i="5"/>
  <c r="P9" i="5"/>
  <c r="P6" i="5"/>
  <c r="P7" i="5"/>
  <c r="G29" i="5"/>
  <c r="P4" i="5"/>
  <c r="P10" i="5"/>
  <c r="P3" i="5"/>
  <c r="O10" i="3"/>
  <c r="O6" i="3"/>
  <c r="O8" i="3"/>
  <c r="O9" i="3"/>
  <c r="O7" i="3"/>
  <c r="O4" i="3"/>
  <c r="O5" i="3"/>
  <c r="O3" i="3"/>
  <c r="H29" i="5" l="1"/>
  <c r="I29" i="5" s="1"/>
  <c r="J29" i="5" s="1"/>
  <c r="K29" i="5" s="1"/>
  <c r="L29" i="5" s="1"/>
  <c r="M29" i="5" s="1"/>
  <c r="N29" i="5" s="1"/>
  <c r="O29" i="5" s="1"/>
  <c r="P29" i="5" s="1"/>
  <c r="P19" i="5"/>
</calcChain>
</file>

<file path=xl/sharedStrings.xml><?xml version="1.0" encoding="utf-8"?>
<sst xmlns="http://schemas.openxmlformats.org/spreadsheetml/2006/main" count="310" uniqueCount="137">
  <si>
    <t>Cadastro Comprador</t>
  </si>
  <si>
    <t>Mãe</t>
  </si>
  <si>
    <t>Paulo</t>
  </si>
  <si>
    <t>Irmã</t>
  </si>
  <si>
    <t>Dione</t>
  </si>
  <si>
    <t>Patricia</t>
  </si>
  <si>
    <t>Allan</t>
  </si>
  <si>
    <t>Fernandinho</t>
  </si>
  <si>
    <t>Nome</t>
  </si>
  <si>
    <t>Total</t>
  </si>
  <si>
    <t>Comprador</t>
  </si>
  <si>
    <t>Data</t>
  </si>
  <si>
    <t>Mercadoria</t>
  </si>
  <si>
    <t>Parcelas</t>
  </si>
  <si>
    <t>Cartão</t>
  </si>
  <si>
    <t>Valor Parcelado</t>
  </si>
  <si>
    <t>Valor Total</t>
  </si>
  <si>
    <t>Código</t>
  </si>
  <si>
    <t>Quantidade (x)</t>
  </si>
  <si>
    <t xml:space="preserve">ENTRADAS </t>
  </si>
  <si>
    <t>Valor</t>
  </si>
  <si>
    <t>Valor Restante</t>
  </si>
  <si>
    <t>Vencimento Cartão</t>
  </si>
  <si>
    <t>Valor Divida</t>
  </si>
  <si>
    <t>Total Entrada</t>
  </si>
  <si>
    <t>Abatimento</t>
  </si>
  <si>
    <t>Divida</t>
  </si>
  <si>
    <t>Camisetas</t>
  </si>
  <si>
    <t>Digio</t>
  </si>
  <si>
    <t>Roupas</t>
  </si>
  <si>
    <t>Nubank</t>
  </si>
  <si>
    <t>Roupas Miguel</t>
  </si>
  <si>
    <t>Celular Angela</t>
  </si>
  <si>
    <t>Celular Irmã</t>
  </si>
  <si>
    <t>Mercadorias Diversas</t>
  </si>
  <si>
    <t>Mochila</t>
  </si>
  <si>
    <t>Celular</t>
  </si>
  <si>
    <t>SICREDI</t>
  </si>
  <si>
    <t>Roupas Rafa</t>
  </si>
  <si>
    <t>Cinto</t>
  </si>
  <si>
    <t>NEXT</t>
  </si>
  <si>
    <t>APH</t>
  </si>
  <si>
    <t>Iva</t>
  </si>
  <si>
    <t>Máquina</t>
  </si>
  <si>
    <t>Spotify</t>
  </si>
  <si>
    <t>Calçado</t>
  </si>
  <si>
    <t>Aferidor de Pressão</t>
  </si>
  <si>
    <t>Sapatênis Angela</t>
  </si>
  <si>
    <t>Pastel</t>
  </si>
  <si>
    <t>Inter</t>
  </si>
  <si>
    <t>Lanche</t>
  </si>
  <si>
    <t>Janeiro</t>
  </si>
  <si>
    <t>Fevereiro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</si>
  <si>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</si>
  <si>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</si>
  <si>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</si>
  <si>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</si>
  <si>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</si>
  <si>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</si>
  <si>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</si>
  <si>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</si>
  <si>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Credicard</t>
  </si>
  <si>
    <t>Sicredi</t>
  </si>
  <si>
    <t>Next</t>
  </si>
  <si>
    <t>TOTAL</t>
  </si>
  <si>
    <t>Dados</t>
  </si>
  <si>
    <t>Dados2</t>
  </si>
  <si>
    <t>Gasto</t>
  </si>
  <si>
    <t>Dinheiro</t>
  </si>
  <si>
    <t>TED</t>
  </si>
  <si>
    <t>Boleto</t>
  </si>
  <si>
    <t>SAIDA</t>
  </si>
  <si>
    <t>Entradas</t>
  </si>
  <si>
    <t>Março</t>
  </si>
  <si>
    <t>Abril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</si>
  <si>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</si>
  <si>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</si>
  <si>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</si>
  <si>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</si>
  <si>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</si>
  <si>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</si>
  <si>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</si>
  <si>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</si>
  <si>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</si>
  <si>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</si>
  <si>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</si>
  <si>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</si>
  <si>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Norberto</t>
  </si>
  <si>
    <t>Salário</t>
  </si>
  <si>
    <t xml:space="preserve">Data Compra </t>
  </si>
  <si>
    <t>Cód.</t>
  </si>
  <si>
    <t>Submarino</t>
  </si>
  <si>
    <t>Notebook</t>
  </si>
  <si>
    <t>Empréstimo</t>
  </si>
  <si>
    <t>Loteria</t>
  </si>
  <si>
    <t>Aluguel</t>
  </si>
  <si>
    <t>TIM</t>
  </si>
  <si>
    <t>Copel</t>
  </si>
  <si>
    <t>Sanepar</t>
  </si>
  <si>
    <t>Mercado</t>
  </si>
  <si>
    <t>Franco</t>
  </si>
  <si>
    <t xml:space="preserve">Diego </t>
  </si>
  <si>
    <t>Seguro Icatu</t>
  </si>
  <si>
    <t>Sim</t>
  </si>
  <si>
    <t>Pão Valdeck</t>
  </si>
  <si>
    <t>Mensalidade ADM</t>
  </si>
  <si>
    <t>Calçado Fernandinho</t>
  </si>
  <si>
    <t>Sapatenis Angela</t>
  </si>
  <si>
    <t>FIES</t>
  </si>
  <si>
    <t>Anuidade</t>
  </si>
  <si>
    <t>Sky</t>
  </si>
  <si>
    <t>e-CPF</t>
  </si>
  <si>
    <t>Mochilas</t>
  </si>
  <si>
    <t xml:space="preserve">Roupas </t>
  </si>
  <si>
    <t>Mercadorias</t>
  </si>
  <si>
    <t xml:space="preserve">Windows 7 </t>
  </si>
  <si>
    <t>Óleo Barba e Prime Sub</t>
  </si>
  <si>
    <t>Estorno Nubank</t>
  </si>
  <si>
    <t>Carrgador</t>
  </si>
  <si>
    <t>Cadastro Compra/Empréstimo</t>
  </si>
  <si>
    <t>Nuconta</t>
  </si>
  <si>
    <t>Total Entradas</t>
  </si>
  <si>
    <t>Total Saidas</t>
  </si>
  <si>
    <t>Total Cartões</t>
  </si>
  <si>
    <t>Saldo Final</t>
  </si>
  <si>
    <t>Bomba Veneno</t>
  </si>
  <si>
    <t>AME</t>
  </si>
  <si>
    <t>Mês/ANO</t>
  </si>
  <si>
    <t xml:space="preserve"> Boleto</t>
  </si>
  <si>
    <t>Cód. Venda</t>
  </si>
  <si>
    <t>Total2</t>
  </si>
  <si>
    <t>Parcelas Total</t>
  </si>
  <si>
    <t>Parcelas Restante</t>
  </si>
  <si>
    <t>Código Compra</t>
  </si>
  <si>
    <t>VIVO</t>
  </si>
  <si>
    <t>Data Final</t>
  </si>
  <si>
    <t>Parcelas Somadas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</si>
</sst>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name val="Calibri"/>
      <scheme val="minor"/>
    </font>
    <font>
      <sz val="12"/>
      <color theme="0"/>
      <name val="Calibri"/>
      <family val="2"/>
      <scheme val="minor"/>
    </font>
    <font>
      <sz val="11"/>
      <color theme="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6" fillId="6" borderId="3" xfId="2" applyFont="1" applyFill="1" applyBorder="1"/>
    <xf numFmtId="0" fontId="6" fillId="8" borderId="3" xfId="2" applyFont="1" applyFill="1" applyBorder="1"/>
    <xf numFmtId="0" fontId="6" fillId="6" borderId="6" xfId="2" applyFont="1" applyFill="1" applyBorder="1"/>
    <xf numFmtId="0" fontId="6" fillId="6" borderId="4" xfId="0" applyFont="1" applyFill="1" applyBorder="1"/>
    <xf numFmtId="0" fontId="2" fillId="6" borderId="5" xfId="0" applyFont="1" applyFill="1" applyBorder="1"/>
    <xf numFmtId="0" fontId="6" fillId="6" borderId="8" xfId="0" applyFont="1" applyFill="1" applyBorder="1"/>
    <xf numFmtId="0" fontId="6" fillId="6" borderId="3" xfId="2" applyFont="1" applyFill="1" applyBorder="1" applyAlignment="1">
      <alignment horizontal="center"/>
    </xf>
    <xf numFmtId="0" fontId="2" fillId="6" borderId="1" xfId="2" applyFill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2" fillId="8" borderId="1" xfId="2" applyFill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2" fillId="6" borderId="7" xfId="2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44" fontId="0" fillId="0" borderId="0" xfId="1" applyFont="1"/>
    <xf numFmtId="44" fontId="4" fillId="0" borderId="0" xfId="1" applyFont="1"/>
    <xf numFmtId="44" fontId="9" fillId="0" borderId="0" xfId="1" applyFont="1"/>
    <xf numFmtId="44" fontId="0" fillId="0" borderId="0" xfId="1" applyFont="1" applyAlignment="1">
      <alignment horizontal="center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4" borderId="0" xfId="4" applyAlignment="1">
      <alignment horizontal="center"/>
    </xf>
    <xf numFmtId="0" fontId="5" fillId="5" borderId="0" xfId="5" applyAlignment="1">
      <alignment horizontal="center"/>
    </xf>
    <xf numFmtId="0" fontId="3" fillId="3" borderId="2" xfId="3" applyAlignment="1">
      <alignment horizontal="center"/>
    </xf>
    <xf numFmtId="0" fontId="0" fillId="12" borderId="0" xfId="0" applyFill="1" applyAlignment="1">
      <alignment horizontal="center"/>
    </xf>
    <xf numFmtId="44" fontId="0" fillId="11" borderId="0" xfId="1" applyFont="1" applyFill="1" applyAlignment="1">
      <alignment horizontal="center"/>
    </xf>
    <xf numFmtId="44" fontId="3" fillId="3" borderId="2" xfId="1" applyFont="1" applyFill="1" applyBorder="1"/>
    <xf numFmtId="44" fontId="0" fillId="0" borderId="0" xfId="1" applyFont="1" applyAlignment="1">
      <alignment vertical="center"/>
    </xf>
    <xf numFmtId="44" fontId="5" fillId="4" borderId="0" xfId="1" applyFont="1" applyFill="1"/>
    <xf numFmtId="44" fontId="5" fillId="5" borderId="0" xfId="1" applyFont="1" applyFill="1"/>
    <xf numFmtId="0" fontId="5" fillId="13" borderId="0" xfId="4" applyFill="1" applyAlignment="1">
      <alignment horizontal="center"/>
    </xf>
    <xf numFmtId="44" fontId="5" fillId="13" borderId="0" xfId="1" applyFont="1" applyFill="1" applyAlignment="1">
      <alignment horizontal="center"/>
    </xf>
    <xf numFmtId="0" fontId="5" fillId="12" borderId="0" xfId="4" applyFill="1" applyAlignment="1">
      <alignment horizontal="center"/>
    </xf>
    <xf numFmtId="44" fontId="5" fillId="12" borderId="0" xfId="1" applyFont="1" applyFill="1"/>
    <xf numFmtId="0" fontId="5" fillId="14" borderId="0" xfId="6" applyAlignment="1">
      <alignment horizontal="center"/>
    </xf>
    <xf numFmtId="44" fontId="5" fillId="14" borderId="0" xfId="1" applyFont="1" applyFill="1" applyAlignment="1">
      <alignment horizontal="center"/>
    </xf>
    <xf numFmtId="0" fontId="10" fillId="6" borderId="3" xfId="2" applyFont="1" applyFill="1" applyBorder="1"/>
    <xf numFmtId="0" fontId="10" fillId="6" borderId="3" xfId="2" applyFont="1" applyFill="1" applyBorder="1" applyAlignment="1">
      <alignment horizontal="center"/>
    </xf>
    <xf numFmtId="0" fontId="10" fillId="6" borderId="6" xfId="2" applyFont="1" applyFill="1" applyBorder="1"/>
    <xf numFmtId="0" fontId="10" fillId="6" borderId="6" xfId="2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44" fontId="0" fillId="13" borderId="0" xfId="1" applyFont="1" applyFill="1" applyAlignment="1">
      <alignment horizontal="center"/>
    </xf>
    <xf numFmtId="4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0" xfId="0" applyFont="1"/>
    <xf numFmtId="0" fontId="11" fillId="15" borderId="0" xfId="7" applyFont="1" applyAlignment="1">
      <alignment horizontal="center"/>
    </xf>
    <xf numFmtId="14" fontId="0" fillId="0" borderId="0" xfId="1" applyNumberFormat="1" applyFont="1" applyAlignment="1">
      <alignment horizontal="center"/>
    </xf>
    <xf numFmtId="0" fontId="0" fillId="9" borderId="0" xfId="0" applyFill="1" applyAlignment="1">
      <alignment horizontal="center"/>
    </xf>
    <xf numFmtId="0" fontId="11" fillId="15" borderId="0" xfId="7" applyFont="1" applyAlignment="1">
      <alignment horizontal="center"/>
    </xf>
    <xf numFmtId="0" fontId="0" fillId="12" borderId="0" xfId="0" applyFill="1" applyAlignment="1">
      <alignment horizontal="center"/>
    </xf>
    <xf numFmtId="0" fontId="8" fillId="8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2" fillId="17" borderId="0" xfId="0" applyFont="1" applyFill="1" applyAlignment="1">
      <alignment horizontal="center"/>
    </xf>
    <xf numFmtId="44" fontId="5" fillId="14" borderId="0" xfId="6" applyNumberFormat="1" applyAlignment="1">
      <alignment horizontal="center"/>
    </xf>
  </cellXfs>
  <cellStyles count="8">
    <cellStyle name="Cálculo" xfId="2" builtinId="22"/>
    <cellStyle name="Célula de Verificação" xfId="3" builtinId="23"/>
    <cellStyle name="Ênfase2" xfId="6" builtinId="33"/>
    <cellStyle name="Ênfase3" xfId="4" builtinId="37"/>
    <cellStyle name="Ênfase5" xfId="7" builtinId="45"/>
    <cellStyle name="Ênfase6" xfId="5" builtinId="49"/>
    <cellStyle name="Moeda" xfId="1" builtinId="4"/>
    <cellStyle name="Normal" xfId="0" builtinId="0"/>
  </cellStyles>
  <dxfs count="78">
    <dxf>
      <numFmt numFmtId="34" formatCode="_-&quot;R$&quot;\ * #,##0.00_-;\-&quot;R$&quot;\ * #,##0.00_-;_-&quot;R$&quot;\ * &quot;-&quot;??_-;_-@_-"/>
      <alignment horizontal="center" vertical="bottom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rgb="FF7F7F7F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 style="thin">
          <color rgb="FF7F7F7F"/>
        </right>
        <top style="thin">
          <color rgb="FF7F7F7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top style="thin">
          <color rgb="FF7F7F7F"/>
        </top>
      </border>
    </dxf>
    <dxf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outline="0">
        <bottom style="thin">
          <color rgb="FF7F7F7F"/>
        </bottom>
      </border>
    </dxf>
    <dxf>
      <font>
        <u val="none"/>
      </font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ela 1" pivot="0" count="1" xr9:uid="{00000000-0011-0000-FFFF-FFFF00000000}">
      <tableStyleElement type="wholeTabl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D2:F21" headerRowBorderDxfId="76" tableBorderDxfId="75" totalsRowBorderDxfId="74">
  <autoFilter ref="D2:F21" xr:uid="{00000000-0009-0000-0100-000004000000}"/>
  <tableColumns count="3">
    <tableColumn id="4" xr3:uid="{00000000-0010-0000-0000-000004000000}" name="Código" dataDxfId="73" dataCellStyle="Cálculo"/>
    <tableColumn id="1" xr3:uid="{00000000-0010-0000-0000-000001000000}" name="Nome" totalsRowLabel="Total" dataDxfId="72" totalsRowDxfId="71" dataCellStyle="Cálculo"/>
    <tableColumn id="2" xr3:uid="{00000000-0010-0000-0000-000002000000}" name="Quantidade (x)" dataDxfId="70" totalsRowDxfId="69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9000000}" name="Tabela3" displayName="Tabela3" ref="B14:N33" totalsRowShown="0" headerRowDxfId="12">
  <autoFilter ref="B14:N33" xr:uid="{00000000-0009-0000-0100-000003000000}"/>
  <tableColumns count="13">
    <tableColumn id="1" xr3:uid="{00000000-0010-0000-0900-000001000000}" name="Nome"/>
    <tableColumn id="2" xr3:uid="{00000000-0010-0000-0900-000002000000}" name="Janeiro"/>
    <tableColumn id="3" xr3:uid="{00000000-0010-0000-0900-000003000000}" name="Fevereiro"/>
    <tableColumn id="4" xr3:uid="{00000000-0010-0000-0900-000004000000}" name="Março"/>
    <tableColumn id="5" xr3:uid="{00000000-0010-0000-0900-000005000000}" name="Abril"/>
    <tableColumn id="6" xr3:uid="{00000000-0010-0000-0900-000006000000}" name="Maio"/>
    <tableColumn id="7" xr3:uid="{00000000-0010-0000-0900-000007000000}" name="Junho"/>
    <tableColumn id="8" xr3:uid="{00000000-0010-0000-0900-000008000000}" name="Julho"/>
    <tableColumn id="9" xr3:uid="{00000000-0010-0000-0900-000009000000}" name="Agosto"/>
    <tableColumn id="10" xr3:uid="{00000000-0010-0000-0900-00000A000000}" name="Setembro"/>
    <tableColumn id="11" xr3:uid="{00000000-0010-0000-0900-00000B000000}" name="Outubro"/>
    <tableColumn id="12" xr3:uid="{00000000-0010-0000-0900-00000C000000}" name="Novembro"/>
    <tableColumn id="13" xr3:uid="{00000000-0010-0000-0900-00000D000000}" name="Dezembro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abela2" displayName="Tabela2" ref="B2:I120" totalsRowShown="0" headerRowDxfId="11" dataDxfId="10">
  <autoFilter ref="B2:I120" xr:uid="{00000000-0009-0000-0100-000002000000}"/>
  <tableColumns count="8">
    <tableColumn id="1" xr3:uid="{00000000-0010-0000-0A00-000001000000}" name="Mês/ANO" dataDxfId="9"/>
    <tableColumn id="2" xr3:uid="{00000000-0010-0000-0A00-000002000000}" name="Código" dataDxfId="8"/>
    <tableColumn id="3" xr3:uid="{00000000-0010-0000-0A00-000003000000}" name="Nome" dataDxfId="7">
      <calculatedColumnFormula>IF(ISERROR(VLOOKUP(C3,Cadastro!$D$3:$E$100,2,0)),"",(VLOOKUP(C3,Cadastro!$D$3:$E$100,2,0)))</calculatedColumnFormula>
    </tableColumn>
    <tableColumn id="4" xr3:uid="{00000000-0010-0000-0A00-000004000000}" name="Mercadoria" dataDxfId="6"/>
    <tableColumn id="5" xr3:uid="{00000000-0010-0000-0A00-000005000000}" name="Parcelas Total" dataDxfId="5">
      <calculatedColumnFormula>IF(ISERROR(LOOKUP(E3,Vendas!$D$3:$F$100)),"",(LOOKUP(E3,Vendas!$D$3:$F$100)))</calculatedColumnFormula>
    </tableColumn>
    <tableColumn id="8" xr3:uid="{00000000-0010-0000-0A00-000008000000}" name="Parcelas Restante" dataDxfId="4">
      <calculatedColumnFormula>SUM(-(COUNTIFS(Entradas!$D$3:$D$100,8)),F3)</calculatedColumnFormula>
    </tableColumn>
    <tableColumn id="6" xr3:uid="{00000000-0010-0000-0A00-000006000000}" name="Total" dataDxfId="3" dataCellStyle="Moeda"/>
    <tableColumn id="7" xr3:uid="{00000000-0010-0000-0A00-000007000000}" name="Total2" dataDxfId="2" dataCellStyle="Moeda">
      <calculatedColumnFormula>(H3*G3)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2:J100" totalsRowShown="0" headerRowDxfId="68" dataDxfId="67">
  <autoFilter ref="A2:J100" xr:uid="{00000000-0009-0000-0100-000005000000}"/>
  <tableColumns count="10">
    <tableColumn id="1" xr3:uid="{00000000-0010-0000-0100-000001000000}" name="Data" dataDxfId="66"/>
    <tableColumn id="11" xr3:uid="{00000000-0010-0000-0100-00000B000000}" name="Código Compra" dataDxfId="65"/>
    <tableColumn id="9" xr3:uid="{00000000-0010-0000-0100-000009000000}" name="Código" dataDxfId="64"/>
    <tableColumn id="2" xr3:uid="{00000000-0010-0000-0100-000002000000}" name="Comprador" dataDxfId="63">
      <calculatedColumnFormula>IF(ISERROR(VLOOKUP(C3,Cadastro!$D$3:$E$21,2,0)),"",(VLOOKUP(C3,Cadastro!$D$3:$E$21,2,0)))</calculatedColumnFormula>
    </tableColumn>
    <tableColumn id="3" xr3:uid="{00000000-0010-0000-0100-000003000000}" name="Mercadoria" dataDxfId="62"/>
    <tableColumn id="4" xr3:uid="{00000000-0010-0000-0100-000004000000}" name="Parcelas" dataDxfId="61"/>
    <tableColumn id="5" xr3:uid="{00000000-0010-0000-0100-000005000000}" name="Cartão" dataDxfId="60"/>
    <tableColumn id="6" xr3:uid="{00000000-0010-0000-0100-000006000000}" name="Valor Parcelado" dataDxfId="59" dataCellStyle="Moeda"/>
    <tableColumn id="7" xr3:uid="{00000000-0010-0000-0100-000007000000}" name="Valor Total" dataDxfId="58" dataCellStyle="Moeda">
      <calculatedColumnFormula>(F3*H3)</calculatedColumnFormula>
    </tableColumn>
    <tableColumn id="10" xr3:uid="{00000000-0010-0000-0100-00000A000000}" name="Data Final" dataDxfId="57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ela8" displayName="Tabela8" ref="L2:N19" totalsRowShown="0">
  <autoFilter ref="L2:N19" xr:uid="{00000000-0009-0000-0100-000008000000}"/>
  <tableColumns count="3">
    <tableColumn id="1" xr3:uid="{00000000-0010-0000-0200-000001000000}" name="Código" dataDxfId="56"/>
    <tableColumn id="2" xr3:uid="{00000000-0010-0000-0200-000002000000}" name="Nome"/>
    <tableColumn id="3" xr3:uid="{00000000-0010-0000-0200-000003000000}" name="Valor Divida" dataCellStyle="Moeda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6" displayName="Tabela6" ref="C2:I79" totalsRowShown="0" dataDxfId="55">
  <autoFilter ref="C2:I79" xr:uid="{00000000-0009-0000-0100-000006000000}"/>
  <tableColumns count="7">
    <tableColumn id="1" xr3:uid="{00000000-0010-0000-0300-000001000000}" name="Data" dataDxfId="54"/>
    <tableColumn id="4" xr3:uid="{00000000-0010-0000-0300-000004000000}" name="Cód. Venda" dataDxfId="53"/>
    <tableColumn id="8" xr3:uid="{00000000-0010-0000-0300-000008000000}" name="Código" dataDxfId="52"/>
    <tableColumn id="2" xr3:uid="{00000000-0010-0000-0300-000002000000}" name="Nome" dataDxfId="51">
      <calculatedColumnFormula>IF(ISERROR(VLOOKUP(E3,Cadastro!$D$3:$E$10,2,0)),"",(VLOOKUP(E3,Cadastro!$D$3:$E$10,2,0)))</calculatedColumnFormula>
    </tableColumn>
    <tableColumn id="3" xr3:uid="{00000000-0010-0000-0300-000003000000}" name="Valor" dataDxfId="50" dataCellStyle="Moeda"/>
    <tableColumn id="6" xr3:uid="{00000000-0010-0000-0300-000006000000}" name="Vencimento Cartão" dataDxfId="49"/>
    <tableColumn id="7" xr3:uid="{00000000-0010-0000-0300-000007000000}" name=" Boleto" dataDxfId="48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7" displayName="Tabela7" ref="K2:O30" totalsRowShown="0">
  <autoFilter ref="K2:O30" xr:uid="{00000000-0009-0000-0100-000007000000}"/>
  <tableColumns count="5">
    <tableColumn id="1" xr3:uid="{00000000-0010-0000-0400-000001000000}" name="Código" dataDxfId="47"/>
    <tableColumn id="2" xr3:uid="{00000000-0010-0000-0400-000002000000}" name="Nome"/>
    <tableColumn id="3" xr3:uid="{00000000-0010-0000-0400-000003000000}" name="Valor Divida" dataDxfId="46" dataCellStyle="Moeda">
      <calculatedColumnFormula>SUMIF(Vendas!$M$3:$M$30,"Mãe",Vendas!$N$3:$N$30)</calculatedColumnFormula>
    </tableColumn>
    <tableColumn id="4" xr3:uid="{00000000-0010-0000-0400-000004000000}" name="Total Entrada" dataDxfId="45" dataCellStyle="Moeda"/>
    <tableColumn id="5" xr3:uid="{00000000-0010-0000-0400-000005000000}" name="Valor Restante" dataCellStyle="Moeda">
      <calculatedColumnFormula>M3-N3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ela12" displayName="Tabela12" ref="B2:K103" totalsRowShown="0" headerRowDxfId="44" dataDxfId="43">
  <autoFilter ref="B2:K103" xr:uid="{00000000-0009-0000-0100-00000C000000}">
    <filterColumn colId="3">
      <filters>
        <filter val="Lanche"/>
      </filters>
    </filterColumn>
  </autoFilter>
  <tableColumns count="10">
    <tableColumn id="1" xr3:uid="{00000000-0010-0000-0500-000001000000}" name="Data" dataDxfId="42"/>
    <tableColumn id="9" xr3:uid="{00000000-0010-0000-0500-000009000000}" name="Cód." dataDxfId="41"/>
    <tableColumn id="10" xr3:uid="{00000000-0010-0000-0500-00000A000000}" name="Nome" dataDxfId="40">
      <calculatedColumnFormula>IF(ISERROR(VLOOKUP(C3,Cadastro!$D$3:$E$20,2,0)),"",(VLOOKUP(C3,Cadastro!$D$3:$E$20,2,0)))</calculatedColumnFormula>
    </tableColumn>
    <tableColumn id="2" xr3:uid="{00000000-0010-0000-0500-000002000000}" name="Gasto" dataDxfId="39"/>
    <tableColumn id="3" xr3:uid="{00000000-0010-0000-0500-000003000000}" name="Valor" dataDxfId="38" dataCellStyle="Moeda"/>
    <tableColumn id="4" xr3:uid="{00000000-0010-0000-0500-000004000000}" name="Cartão" dataDxfId="37"/>
    <tableColumn id="5" xr3:uid="{00000000-0010-0000-0500-000005000000}" name="Dinheiro" dataDxfId="36"/>
    <tableColumn id="6" xr3:uid="{00000000-0010-0000-0500-000006000000}" name="TED" dataDxfId="35"/>
    <tableColumn id="7" xr3:uid="{00000000-0010-0000-0500-000007000000}" name="Boleto" dataDxfId="34"/>
    <tableColumn id="8" xr3:uid="{00000000-0010-0000-0500-000008000000}" name="Data Compra " dataDxfId="33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ela15" displayName="Tabela15" ref="M2:O103" totalsRowShown="0" dataDxfId="32">
  <autoFilter ref="M2:O103" xr:uid="{00000000-0009-0000-0100-00000F000000}"/>
  <tableColumns count="3">
    <tableColumn id="1" xr3:uid="{00000000-0010-0000-0600-000001000000}" name="Data" dataDxfId="31"/>
    <tableColumn id="2" xr3:uid="{00000000-0010-0000-0600-000002000000}" name="Nome" dataDxfId="30"/>
    <tableColumn id="3" xr3:uid="{00000000-0010-0000-0600-000003000000}" name="Valor" dataDxfId="29" dataCellStyle="Moeda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9" displayName="Tabela9" ref="B1:P29" totalsRowShown="0" headerRowDxfId="28">
  <autoFilter ref="B1:P29" xr:uid="{00000000-0009-0000-0100-000009000000}"/>
  <tableColumns count="15">
    <tableColumn id="1" xr3:uid="{00000000-0010-0000-0700-000001000000}" name="Dados" dataDxfId="27"/>
    <tableColumn id="2" xr3:uid="{00000000-0010-0000-0700-000002000000}" name="Dados2" dataDxfId="26"/>
    <tableColumn id="3" xr3:uid="{00000000-0010-0000-0700-000003000000}" name="1" dataCellStyle="Moeda"/>
    <tableColumn id="4" xr3:uid="{00000000-0010-0000-0700-000004000000}" name="2" dataCellStyle="Moeda"/>
    <tableColumn id="5" xr3:uid="{00000000-0010-0000-0700-000005000000}" name="3" dataCellStyle="Moeda"/>
    <tableColumn id="6" xr3:uid="{00000000-0010-0000-0700-000006000000}" name="4" dataCellStyle="Moeda"/>
    <tableColumn id="7" xr3:uid="{00000000-0010-0000-0700-000007000000}" name="5" dataCellStyle="Moeda"/>
    <tableColumn id="8" xr3:uid="{00000000-0010-0000-0700-000008000000}" name="6" dataCellStyle="Moeda"/>
    <tableColumn id="9" xr3:uid="{00000000-0010-0000-0700-000009000000}" name="7" dataCellStyle="Moeda"/>
    <tableColumn id="10" xr3:uid="{00000000-0010-0000-0700-00000A000000}" name="8" dataCellStyle="Moeda"/>
    <tableColumn id="11" xr3:uid="{00000000-0010-0000-0700-00000B000000}" name="9" dataCellStyle="Moeda"/>
    <tableColumn id="12" xr3:uid="{00000000-0010-0000-0700-00000C000000}" name="10" dataCellStyle="Moeda"/>
    <tableColumn id="13" xr3:uid="{00000000-0010-0000-0700-00000D000000}" name="11" dataCellStyle="Moeda"/>
    <tableColumn id="14" xr3:uid="{00000000-0010-0000-0700-00000E000000}" name="12" dataCellStyle="Moeda"/>
    <tableColumn id="15" xr3:uid="{00000000-0010-0000-0700-00000F000000}" name="TOTAL" dataCellStyle="Moeda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ela1" displayName="Tabela1" ref="B1:N11" totalsRowShown="0" headerRowDxfId="25" dataDxfId="24">
  <autoFilter ref="B1:N11" xr:uid="{00000000-0009-0000-0100-000001000000}"/>
  <tableColumns count="13">
    <tableColumn id="1" xr3:uid="{00000000-0010-0000-0800-000001000000}" name="Gasto" dataDxfId="23"/>
    <tableColumn id="2" xr3:uid="{00000000-0010-0000-0800-000002000000}" name="Janeiro" dataDxfId="1">
      <calculatedColumnFormula>SUMPRODUCT(('Minhas Entradas e Saidas'!$E$3:$E$50=$B2)*(MONTH('Minhas Entradas e Saidas'!$B$3:$B$50)=MONTH(1&amp;Tabela1[[#Headers],[Janeiro]]))*('Minhas Entradas e Saidas'!$F$3:$F$50))</calculatedColumnFormula>
    </tableColumn>
    <tableColumn id="3" xr3:uid="{00000000-0010-0000-0800-000003000000}" name="Fevereiro" dataDxfId="0"/>
    <tableColumn id="4" xr3:uid="{00000000-0010-0000-0800-000004000000}" name="Março" dataDxfId="22" dataCellStyle="Moeda">
      <calculatedColumnFormula>SUMPRODUCT((MONTH('Minhas Entradas e Saidas'!$B$3:$B$103)=3)*('Minhas Entradas e Saidas'!$F$3:$F$103)*('Minhas Entradas e Saidas'!$D$3:$D$103="Norberto")*('Minhas Entradas e Saidas'!$E$3:$E$103="Mercado"))</calculatedColumnFormula>
    </tableColumn>
    <tableColumn id="5" xr3:uid="{00000000-0010-0000-0800-000005000000}" name="Abril" dataDxfId="21" dataCellStyle="Moeda"/>
    <tableColumn id="6" xr3:uid="{00000000-0010-0000-0800-000006000000}" name="Maio" dataDxfId="20" dataCellStyle="Moeda"/>
    <tableColumn id="7" xr3:uid="{00000000-0010-0000-0800-000007000000}" name="Junho" dataDxfId="19" dataCellStyle="Moeda"/>
    <tableColumn id="8" xr3:uid="{00000000-0010-0000-0800-000008000000}" name="Julho" dataDxfId="18" dataCellStyle="Moeda"/>
    <tableColumn id="9" xr3:uid="{00000000-0010-0000-0800-000009000000}" name="Agosto" dataDxfId="17" dataCellStyle="Moeda"/>
    <tableColumn id="10" xr3:uid="{00000000-0010-0000-0800-00000A000000}" name="Setembro" dataDxfId="16" dataCellStyle="Moeda"/>
    <tableColumn id="11" xr3:uid="{00000000-0010-0000-0800-00000B000000}" name="Outubro" dataDxfId="15" dataCellStyle="Moeda"/>
    <tableColumn id="12" xr3:uid="{00000000-0010-0000-0800-00000C000000}" name="Novembro" dataDxfId="14" dataCellStyle="Moeda"/>
    <tableColumn id="13" xr3:uid="{00000000-0010-0000-0800-00000D000000}" name="Dezembro" dataDxfId="13" dataCellStyle="Moed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F21"/>
  <sheetViews>
    <sheetView workbookViewId="0"/>
  </sheetViews>
  <sheetFormatPr defaultRowHeight="14.4"/>
  <cols>
    <col min="3" max="3" width="13" customWidth="1"/>
    <col min="4" max="4" width="8.88671875" customWidth="1"/>
    <col min="5" max="5" width="16.33203125" customWidth="1"/>
    <col min="6" max="6" width="16" customWidth="1"/>
  </cols>
  <sheetData>
    <row r="1" spans="4:6">
      <c r="D1" s="49" t="s">
        <v>0</v>
      </c>
      <c r="E1" s="49"/>
      <c r="F1" s="49"/>
    </row>
    <row r="2" spans="4:6">
      <c r="D2" s="7" t="s">
        <v>17</v>
      </c>
      <c r="E2" s="5" t="s">
        <v>8</v>
      </c>
      <c r="F2" s="6" t="s">
        <v>18</v>
      </c>
    </row>
    <row r="3" spans="4:6">
      <c r="D3" s="2">
        <v>1</v>
      </c>
      <c r="E3" s="8" t="s">
        <v>1</v>
      </c>
      <c r="F3" s="9"/>
    </row>
    <row r="4" spans="4:6">
      <c r="D4" s="3">
        <v>2</v>
      </c>
      <c r="E4" s="10" t="s">
        <v>2</v>
      </c>
      <c r="F4" s="11"/>
    </row>
    <row r="5" spans="4:6">
      <c r="D5" s="2">
        <v>3</v>
      </c>
      <c r="E5" s="8" t="s">
        <v>3</v>
      </c>
      <c r="F5" s="9"/>
    </row>
    <row r="6" spans="4:6">
      <c r="D6" s="3">
        <v>4</v>
      </c>
      <c r="E6" s="10" t="s">
        <v>4</v>
      </c>
      <c r="F6" s="11"/>
    </row>
    <row r="7" spans="4:6">
      <c r="D7" s="2">
        <v>5</v>
      </c>
      <c r="E7" s="8" t="s">
        <v>5</v>
      </c>
      <c r="F7" s="9"/>
    </row>
    <row r="8" spans="4:6">
      <c r="D8" s="3">
        <v>6</v>
      </c>
      <c r="E8" s="10" t="s">
        <v>6</v>
      </c>
      <c r="F8" s="11"/>
    </row>
    <row r="9" spans="4:6">
      <c r="D9" s="4">
        <v>7</v>
      </c>
      <c r="E9" s="12" t="s">
        <v>7</v>
      </c>
      <c r="F9" s="13"/>
    </row>
    <row r="10" spans="4:6">
      <c r="D10" s="2">
        <v>8</v>
      </c>
      <c r="E10" s="8" t="s">
        <v>42</v>
      </c>
      <c r="F10" s="1"/>
    </row>
    <row r="11" spans="4:6">
      <c r="D11" s="2">
        <v>9</v>
      </c>
      <c r="E11" s="8" t="s">
        <v>87</v>
      </c>
      <c r="F11" s="1"/>
    </row>
    <row r="12" spans="4:6">
      <c r="D12" s="2">
        <v>10</v>
      </c>
      <c r="E12" s="8" t="s">
        <v>100</v>
      </c>
      <c r="F12" s="1"/>
    </row>
    <row r="13" spans="4:6">
      <c r="D13" s="2">
        <v>11</v>
      </c>
      <c r="E13" s="8" t="s">
        <v>101</v>
      </c>
      <c r="F13" s="1"/>
    </row>
    <row r="14" spans="4:6">
      <c r="D14" s="2"/>
      <c r="E14" s="8"/>
      <c r="F14" s="1"/>
    </row>
    <row r="15" spans="4:6">
      <c r="D15" s="4"/>
      <c r="E15" s="12"/>
      <c r="F15" s="1"/>
    </row>
    <row r="16" spans="4:6">
      <c r="D16" s="37"/>
      <c r="E16" s="38"/>
      <c r="F16" s="1"/>
    </row>
    <row r="17" spans="4:6">
      <c r="D17" s="37"/>
      <c r="E17" s="38"/>
      <c r="F17" s="1"/>
    </row>
    <row r="18" spans="4:6">
      <c r="D18" s="37"/>
      <c r="E18" s="38"/>
      <c r="F18" s="1"/>
    </row>
    <row r="19" spans="4:6">
      <c r="D19" s="37"/>
      <c r="E19" s="38"/>
      <c r="F19" s="1"/>
    </row>
    <row r="20" spans="4:6">
      <c r="D20" s="37"/>
      <c r="E20" s="38"/>
      <c r="F20" s="1"/>
    </row>
    <row r="21" spans="4:6">
      <c r="D21" s="39"/>
      <c r="E21" s="40"/>
      <c r="F21" s="1"/>
    </row>
  </sheetData>
  <mergeCells count="1">
    <mergeCell ref="D1:F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zoomScaleNormal="100" workbookViewId="0">
      <selection sqref="A1:I1"/>
    </sheetView>
  </sheetViews>
  <sheetFormatPr defaultRowHeight="14.4"/>
  <cols>
    <col min="1" max="1" width="11.5546875" customWidth="1"/>
    <col min="2" max="2" width="15" customWidth="1"/>
    <col min="3" max="3" width="12.44140625" customWidth="1"/>
    <col min="4" max="4" width="19.6640625" customWidth="1"/>
    <col min="5" max="5" width="24.5546875" customWidth="1"/>
    <col min="6" max="6" width="12.44140625" customWidth="1"/>
    <col min="7" max="7" width="16.88671875" style="16" customWidth="1"/>
    <col min="8" max="8" width="15.5546875" style="16" customWidth="1"/>
    <col min="9" max="9" width="13.109375" customWidth="1"/>
    <col min="10" max="10" width="14" customWidth="1"/>
    <col min="11" max="11" width="4.33203125" style="1" customWidth="1"/>
    <col min="12" max="12" width="12.5546875" customWidth="1"/>
    <col min="13" max="13" width="15" style="16" customWidth="1"/>
    <col min="14" max="14" width="12.109375" customWidth="1"/>
  </cols>
  <sheetData>
    <row r="1" spans="1:14" ht="15.6">
      <c r="A1" s="50" t="s">
        <v>119</v>
      </c>
      <c r="B1" s="50"/>
      <c r="C1" s="50"/>
      <c r="D1" s="50"/>
      <c r="E1" s="50"/>
      <c r="F1" s="50"/>
      <c r="G1" s="50"/>
      <c r="H1" s="50"/>
      <c r="I1" s="50"/>
      <c r="J1" s="47"/>
      <c r="K1"/>
      <c r="L1" s="51" t="s">
        <v>26</v>
      </c>
      <c r="M1" s="51"/>
      <c r="N1" s="51"/>
    </row>
    <row r="2" spans="1:14">
      <c r="A2" s="1" t="s">
        <v>11</v>
      </c>
      <c r="B2" s="1" t="s">
        <v>133</v>
      </c>
      <c r="C2" s="1" t="s">
        <v>17</v>
      </c>
      <c r="D2" s="1" t="s">
        <v>10</v>
      </c>
      <c r="E2" s="1" t="s">
        <v>12</v>
      </c>
      <c r="F2" s="1" t="s">
        <v>13</v>
      </c>
      <c r="G2" s="1" t="s">
        <v>14</v>
      </c>
      <c r="H2" s="19" t="s">
        <v>15</v>
      </c>
      <c r="I2" s="19" t="s">
        <v>16</v>
      </c>
      <c r="J2" s="19" t="s">
        <v>135</v>
      </c>
      <c r="K2"/>
      <c r="L2" s="1" t="s">
        <v>17</v>
      </c>
      <c r="M2" t="s">
        <v>8</v>
      </c>
      <c r="N2" s="16" t="s">
        <v>23</v>
      </c>
    </row>
    <row r="3" spans="1:14">
      <c r="A3" s="15">
        <v>43535</v>
      </c>
      <c r="B3" s="1">
        <v>1</v>
      </c>
      <c r="C3" s="1">
        <v>6</v>
      </c>
      <c r="D3" s="1" t="str">
        <f>IF(ISERROR(VLOOKUP(C3,Cadastro!$D$3:$E$21,2,0)),"",(VLOOKUP(C3,Cadastro!$D$3:$E$21,2,0)))</f>
        <v>Allan</v>
      </c>
      <c r="E3" s="1" t="s">
        <v>27</v>
      </c>
      <c r="F3" s="1">
        <v>3</v>
      </c>
      <c r="G3" s="1" t="s">
        <v>28</v>
      </c>
      <c r="H3" s="19">
        <v>46.34</v>
      </c>
      <c r="I3" s="19">
        <f t="shared" ref="I3:I49" si="0">(F3*H3)</f>
        <v>139.02000000000001</v>
      </c>
      <c r="J3" s="48">
        <f>EDATE(A3,F3)</f>
        <v>43627</v>
      </c>
      <c r="K3"/>
      <c r="L3" s="1">
        <v>1</v>
      </c>
      <c r="M3" t="str">
        <f>IF(ISERROR(VLOOKUP(L3,Cadastro!$D$3:$E$21,2,0)),"",(VLOOKUP(L3,Cadastro!$D$3:$E$21,2,0)))</f>
        <v>Mãe</v>
      </c>
      <c r="N3" s="16">
        <f>SUMIF(D3:D105,"Mãe",I3:I105)</f>
        <v>785.5</v>
      </c>
    </row>
    <row r="4" spans="1:14">
      <c r="A4" s="15">
        <v>43523</v>
      </c>
      <c r="B4" s="1">
        <v>2</v>
      </c>
      <c r="C4" s="1">
        <v>5</v>
      </c>
      <c r="D4" s="1" t="str">
        <f>IF(ISERROR(VLOOKUP(C4,Cadastro!$D$3:$E$21,2,0)),"",(VLOOKUP(C4,Cadastro!$D$3:$E$21,2,0)))</f>
        <v>Patricia</v>
      </c>
      <c r="E4" s="1" t="s">
        <v>29</v>
      </c>
      <c r="F4" s="1">
        <v>6</v>
      </c>
      <c r="G4" s="1" t="s">
        <v>30</v>
      </c>
      <c r="H4" s="19">
        <v>69.900000000000006</v>
      </c>
      <c r="I4" s="19">
        <f t="shared" si="0"/>
        <v>419.40000000000003</v>
      </c>
      <c r="J4" s="48">
        <f t="shared" ref="J4:J29" si="1">EDATE(A4,F4)</f>
        <v>43704</v>
      </c>
      <c r="K4"/>
      <c r="L4" s="1">
        <v>2</v>
      </c>
      <c r="M4" t="str">
        <f>IF(ISERROR(VLOOKUP(L4,Cadastro!$D$3:$E$21,2,0)),"",(VLOOKUP(L4,Cadastro!$D$3:$E$21,2,0)))</f>
        <v>Paulo</v>
      </c>
      <c r="N4" s="16">
        <f>SUMIF(D3:D106,"Paulo",I3:I106)</f>
        <v>3362.3799999999997</v>
      </c>
    </row>
    <row r="5" spans="1:14">
      <c r="A5" s="15">
        <v>43525</v>
      </c>
      <c r="B5" s="1">
        <v>3</v>
      </c>
      <c r="C5" s="1">
        <v>1</v>
      </c>
      <c r="D5" s="1" t="str">
        <f>IF(ISERROR(VLOOKUP(C5,Cadastro!$D$3:$E$21,2,0)),"",(VLOOKUP(C5,Cadastro!$D$3:$E$21,2,0)))</f>
        <v>Mãe</v>
      </c>
      <c r="E5" s="1" t="s">
        <v>31</v>
      </c>
      <c r="F5" s="1">
        <v>2</v>
      </c>
      <c r="G5" s="1" t="s">
        <v>30</v>
      </c>
      <c r="H5" s="19">
        <v>42.5</v>
      </c>
      <c r="I5" s="19">
        <f t="shared" si="0"/>
        <v>85</v>
      </c>
      <c r="J5" s="48">
        <f t="shared" si="1"/>
        <v>43586</v>
      </c>
      <c r="K5"/>
      <c r="L5" s="1">
        <v>3</v>
      </c>
      <c r="M5" t="str">
        <f>IF(ISERROR(VLOOKUP(L5,Cadastro!$D$3:$E$21,2,0)),"",(VLOOKUP(L5,Cadastro!$D$3:$E$21,2,0)))</f>
        <v>Irmã</v>
      </c>
      <c r="N5" s="16">
        <f>SUMIF(D3:D107,"Irmã",I3:I107)</f>
        <v>722.96999999999991</v>
      </c>
    </row>
    <row r="6" spans="1:14">
      <c r="A6" s="15">
        <v>43525</v>
      </c>
      <c r="B6" s="1">
        <v>4</v>
      </c>
      <c r="C6" s="1">
        <v>2</v>
      </c>
      <c r="D6" s="1" t="str">
        <f>IF(ISERROR(VLOOKUP(C6,Cadastro!$D$3:$E$21,2,0)),"",(VLOOKUP(C6,Cadastro!$D$3:$E$21,2,0)))</f>
        <v>Paulo</v>
      </c>
      <c r="E6" s="1" t="s">
        <v>32</v>
      </c>
      <c r="F6" s="1">
        <v>7</v>
      </c>
      <c r="G6" s="1" t="s">
        <v>30</v>
      </c>
      <c r="H6" s="19">
        <v>77.42</v>
      </c>
      <c r="I6" s="19">
        <f t="shared" si="0"/>
        <v>541.94000000000005</v>
      </c>
      <c r="J6" s="48">
        <f t="shared" si="1"/>
        <v>43739</v>
      </c>
      <c r="K6"/>
      <c r="L6" s="1">
        <v>4</v>
      </c>
      <c r="M6" t="str">
        <f>IF(ISERROR(VLOOKUP(L6,Cadastro!$D$3:$E$21,2,0)),"",(VLOOKUP(L6,Cadastro!$D$3:$E$21,2,0)))</f>
        <v>Dione</v>
      </c>
      <c r="N6" s="16">
        <f>SUMIF(D3:D108,"Dione",I3:I108)</f>
        <v>884</v>
      </c>
    </row>
    <row r="7" spans="1:14">
      <c r="A7" s="15">
        <v>43525</v>
      </c>
      <c r="B7" s="1">
        <v>5</v>
      </c>
      <c r="C7" s="1">
        <v>3</v>
      </c>
      <c r="D7" s="1" t="str">
        <f>IF(ISERROR(VLOOKUP(C7,Cadastro!$D$3:$E$21,2,0)),"",(VLOOKUP(C7,Cadastro!$D$3:$E$21,2,0)))</f>
        <v>Irmã</v>
      </c>
      <c r="E7" s="1" t="s">
        <v>33</v>
      </c>
      <c r="F7" s="1">
        <v>6</v>
      </c>
      <c r="G7" s="1" t="s">
        <v>30</v>
      </c>
      <c r="H7" s="19">
        <v>102.5</v>
      </c>
      <c r="I7" s="19">
        <f t="shared" si="0"/>
        <v>615</v>
      </c>
      <c r="J7" s="48">
        <f t="shared" si="1"/>
        <v>43709</v>
      </c>
      <c r="K7"/>
      <c r="L7" s="1">
        <v>5</v>
      </c>
      <c r="M7" t="str">
        <f>IF(ISERROR(VLOOKUP(L7,Cadastro!$D$3:$E$21,2,0)),"",(VLOOKUP(L7,Cadastro!$D$3:$E$21,2,0)))</f>
        <v>Patricia</v>
      </c>
      <c r="N7" s="16">
        <f>SUMIF(D1:D109,"Patricia",I1:I109)</f>
        <v>419.40000000000003</v>
      </c>
    </row>
    <row r="8" spans="1:14">
      <c r="A8" s="15">
        <v>43525</v>
      </c>
      <c r="B8" s="1">
        <v>6</v>
      </c>
      <c r="C8" s="1">
        <v>2</v>
      </c>
      <c r="D8" s="1" t="str">
        <f>IF(ISERROR(VLOOKUP(C8,Cadastro!$D$3:$E$21,2,0)),"",(VLOOKUP(C8,Cadastro!$D$3:$E$21,2,0)))</f>
        <v>Paulo</v>
      </c>
      <c r="E8" s="1" t="s">
        <v>34</v>
      </c>
      <c r="F8" s="1">
        <v>5</v>
      </c>
      <c r="G8" s="1" t="s">
        <v>30</v>
      </c>
      <c r="H8" s="19">
        <v>58.3</v>
      </c>
      <c r="I8" s="19">
        <f t="shared" si="0"/>
        <v>291.5</v>
      </c>
      <c r="J8" s="48">
        <f t="shared" si="1"/>
        <v>43678</v>
      </c>
      <c r="K8"/>
      <c r="L8" s="1">
        <v>6</v>
      </c>
      <c r="M8" t="str">
        <f>IF(ISERROR(VLOOKUP(L8,Cadastro!$D$3:$E$21,2,0)),"",(VLOOKUP(L8,Cadastro!$D$3:$E$21,2,0)))</f>
        <v>Allan</v>
      </c>
      <c r="N8" s="16">
        <f>SUMIF(D1:D110,"Allan",I1:I110)</f>
        <v>370.14</v>
      </c>
    </row>
    <row r="9" spans="1:14">
      <c r="A9" s="15">
        <v>43525</v>
      </c>
      <c r="B9" s="1">
        <v>7</v>
      </c>
      <c r="C9" s="1">
        <v>6</v>
      </c>
      <c r="D9" s="1" t="str">
        <f>IF(ISERROR(VLOOKUP(C9,Cadastro!$D$3:$E$21,2,0)),"",(VLOOKUP(C9,Cadastro!$D$3:$E$21,2,0)))</f>
        <v>Allan</v>
      </c>
      <c r="E9" s="1" t="s">
        <v>35</v>
      </c>
      <c r="F9" s="1">
        <v>1</v>
      </c>
      <c r="G9" s="1" t="s">
        <v>30</v>
      </c>
      <c r="H9" s="19">
        <v>62</v>
      </c>
      <c r="I9" s="19">
        <f t="shared" si="0"/>
        <v>62</v>
      </c>
      <c r="J9" s="48">
        <f t="shared" si="1"/>
        <v>43556</v>
      </c>
      <c r="K9"/>
      <c r="L9" s="1">
        <v>7</v>
      </c>
      <c r="M9" t="str">
        <f>IF(ISERROR(VLOOKUP(L9,Cadastro!$D$3:$E$21,2,0)),"",(VLOOKUP(L9,Cadastro!$D$3:$E$21,2,0)))</f>
        <v>Fernandinho</v>
      </c>
      <c r="N9" s="16">
        <f>SUMIF(D3:D111,"Fernandinho",I3:I111)</f>
        <v>2163.2399999999998</v>
      </c>
    </row>
    <row r="10" spans="1:14">
      <c r="A10" s="15">
        <v>43525</v>
      </c>
      <c r="B10" s="1">
        <v>8</v>
      </c>
      <c r="C10" s="1">
        <v>7</v>
      </c>
      <c r="D10" s="1" t="str">
        <f>IF(ISERROR(VLOOKUP(C10,Cadastro!$D$3:$E$21,2,0)),"",(VLOOKUP(C10,Cadastro!$D$3:$E$21,2,0)))</f>
        <v>Fernandinho</v>
      </c>
      <c r="E10" s="1" t="s">
        <v>36</v>
      </c>
      <c r="F10" s="1">
        <v>6</v>
      </c>
      <c r="G10" s="1" t="s">
        <v>37</v>
      </c>
      <c r="H10" s="19">
        <v>220.19</v>
      </c>
      <c r="I10" s="19">
        <f t="shared" si="0"/>
        <v>1321.1399999999999</v>
      </c>
      <c r="J10" s="48">
        <f t="shared" si="1"/>
        <v>43709</v>
      </c>
      <c r="K10"/>
      <c r="L10" s="1">
        <v>8</v>
      </c>
      <c r="M10" t="str">
        <f>IF(ISERROR(VLOOKUP(L10,Cadastro!$D$3:$E$21,2,0)),"",(VLOOKUP(L10,Cadastro!$D$3:$E$21,2,0)))</f>
        <v>Iva</v>
      </c>
      <c r="N10" s="16">
        <f>SUMIF(D3:D112,"Iva",I3:I112)</f>
        <v>125.68</v>
      </c>
    </row>
    <row r="11" spans="1:14">
      <c r="A11" s="15">
        <v>43525</v>
      </c>
      <c r="B11" s="1">
        <v>9</v>
      </c>
      <c r="C11" s="1">
        <v>1</v>
      </c>
      <c r="D11" s="1" t="str">
        <f>IF(ISERROR(VLOOKUP(C11,Cadastro!$D$3:$E$21,2,0)),"",(VLOOKUP(C11,Cadastro!$D$3:$E$21,2,0)))</f>
        <v>Mãe</v>
      </c>
      <c r="E11" s="1" t="s">
        <v>38</v>
      </c>
      <c r="F11" s="1">
        <v>2</v>
      </c>
      <c r="G11" s="1" t="s">
        <v>37</v>
      </c>
      <c r="H11" s="19">
        <v>47.8</v>
      </c>
      <c r="I11" s="19">
        <f t="shared" si="0"/>
        <v>95.6</v>
      </c>
      <c r="J11" s="48">
        <f t="shared" si="1"/>
        <v>43586</v>
      </c>
      <c r="K11"/>
      <c r="L11" s="1"/>
      <c r="M11" t="str">
        <f>IF(ISERROR(VLOOKUP(L11,Cadastro!$D$3:$E$21,2,0)),"",(VLOOKUP(L11,Cadastro!$D$3:$E$21,2,0)))</f>
        <v/>
      </c>
      <c r="N11" s="16"/>
    </row>
    <row r="12" spans="1:14">
      <c r="A12" s="15">
        <v>43525</v>
      </c>
      <c r="B12" s="1">
        <v>10</v>
      </c>
      <c r="C12" s="1">
        <v>6</v>
      </c>
      <c r="D12" s="1" t="str">
        <f>IF(ISERROR(VLOOKUP(C12,Cadastro!$D$3:$E$21,2,0)),"",(VLOOKUP(C12,Cadastro!$D$3:$E$21,2,0)))</f>
        <v>Allan</v>
      </c>
      <c r="E12" s="1" t="s">
        <v>39</v>
      </c>
      <c r="F12" s="1">
        <v>3</v>
      </c>
      <c r="G12" s="1" t="s">
        <v>40</v>
      </c>
      <c r="H12" s="19">
        <v>33.99</v>
      </c>
      <c r="I12" s="19">
        <f t="shared" si="0"/>
        <v>101.97</v>
      </c>
      <c r="J12" s="48">
        <f t="shared" si="1"/>
        <v>43617</v>
      </c>
      <c r="K12"/>
      <c r="L12" s="1"/>
      <c r="M12" t="str">
        <f>IF(ISERROR(VLOOKUP(L12,Cadastro!$D$3:$E$21,2,0)),"",(VLOOKUP(L12,Cadastro!$D$3:$E$21,2,0)))</f>
        <v/>
      </c>
      <c r="N12" s="16"/>
    </row>
    <row r="13" spans="1:14">
      <c r="A13" s="15">
        <v>43525</v>
      </c>
      <c r="B13" s="1">
        <v>11</v>
      </c>
      <c r="C13" s="1">
        <v>2</v>
      </c>
      <c r="D13" s="1" t="str">
        <f>IF(ISERROR(VLOOKUP(C13,Cadastro!$D$3:$E$21,2,0)),"",(VLOOKUP(C13,Cadastro!$D$3:$E$21,2,0)))</f>
        <v>Paulo</v>
      </c>
      <c r="E13" s="1" t="s">
        <v>41</v>
      </c>
      <c r="F13" s="1">
        <v>5</v>
      </c>
      <c r="G13" s="1" t="s">
        <v>40</v>
      </c>
      <c r="H13" s="19">
        <v>25</v>
      </c>
      <c r="I13" s="19">
        <f t="shared" si="0"/>
        <v>125</v>
      </c>
      <c r="J13" s="48">
        <f t="shared" si="1"/>
        <v>43678</v>
      </c>
      <c r="K13"/>
      <c r="L13" s="1"/>
      <c r="M13" t="str">
        <f>IF(ISERROR(VLOOKUP(L13,Cadastro!$D$3:$E$21,2,0)),"",(VLOOKUP(L13,Cadastro!$D$3:$E$21,2,0)))</f>
        <v/>
      </c>
      <c r="N13" s="16"/>
    </row>
    <row r="14" spans="1:14">
      <c r="A14" s="15">
        <v>43525</v>
      </c>
      <c r="B14" s="1">
        <v>12</v>
      </c>
      <c r="C14" s="1">
        <v>8</v>
      </c>
      <c r="D14" s="1" t="str">
        <f>IF(ISERROR(VLOOKUP(C14,Cadastro!$D$3:$E$21,2,0)),"",(VLOOKUP(C14,Cadastro!$D$3:$E$21,2,0)))</f>
        <v>Iva</v>
      </c>
      <c r="E14" s="1" t="s">
        <v>43</v>
      </c>
      <c r="F14" s="1">
        <v>4</v>
      </c>
      <c r="G14" s="1" t="s">
        <v>40</v>
      </c>
      <c r="H14" s="19">
        <v>31.42</v>
      </c>
      <c r="I14" s="19">
        <f t="shared" si="0"/>
        <v>125.68</v>
      </c>
      <c r="J14" s="48">
        <f t="shared" si="1"/>
        <v>43647</v>
      </c>
      <c r="K14"/>
      <c r="L14" s="1"/>
      <c r="M14" t="str">
        <f>IF(ISERROR(VLOOKUP(L14,Cadastro!$D$3:$E$21,2,0)),"",(VLOOKUP(L14,Cadastro!$D$3:$E$21,2,0)))</f>
        <v/>
      </c>
      <c r="N14" s="16"/>
    </row>
    <row r="15" spans="1:14">
      <c r="A15" s="15">
        <v>43525</v>
      </c>
      <c r="B15" s="1">
        <v>13</v>
      </c>
      <c r="C15" s="1">
        <v>2</v>
      </c>
      <c r="D15" s="1" t="str">
        <f>IF(ISERROR(VLOOKUP(C15,Cadastro!$D$3:$E$21,2,0)),"",(VLOOKUP(C15,Cadastro!$D$3:$E$21,2,0)))</f>
        <v>Paulo</v>
      </c>
      <c r="E15" s="1" t="s">
        <v>93</v>
      </c>
      <c r="F15" s="1">
        <v>10</v>
      </c>
      <c r="G15" s="1" t="s">
        <v>120</v>
      </c>
      <c r="H15" s="19">
        <v>100</v>
      </c>
      <c r="I15" s="19">
        <f>(F15*H15)</f>
        <v>1000</v>
      </c>
      <c r="J15" s="48">
        <f t="shared" si="1"/>
        <v>43831</v>
      </c>
      <c r="K15"/>
      <c r="L15" s="1"/>
      <c r="M15" t="str">
        <f>IF(ISERROR(VLOOKUP(L15,Cadastro!$D$3:$E$21,2,0)),"",(VLOOKUP(L15,Cadastro!$D$3:$E$21,2,0)))</f>
        <v/>
      </c>
      <c r="N15" s="16"/>
    </row>
    <row r="16" spans="1:14">
      <c r="A16" s="15">
        <v>43525</v>
      </c>
      <c r="B16" s="1">
        <v>14</v>
      </c>
      <c r="C16" s="1">
        <v>7</v>
      </c>
      <c r="D16" s="1" t="str">
        <f>IF(ISERROR(VLOOKUP(C16,Cadastro!$D$3:$E$21,2,0)),"",(VLOOKUP(C16,Cadastro!$D$3:$E$21,2,0)))</f>
        <v>Fernandinho</v>
      </c>
      <c r="E16" s="1" t="s">
        <v>44</v>
      </c>
      <c r="F16" s="1">
        <v>9</v>
      </c>
      <c r="G16" s="1" t="s">
        <v>37</v>
      </c>
      <c r="H16" s="19">
        <v>26.9</v>
      </c>
      <c r="I16" s="19">
        <f t="shared" si="0"/>
        <v>242.1</v>
      </c>
      <c r="J16" s="48">
        <f t="shared" si="1"/>
        <v>43800</v>
      </c>
      <c r="K16"/>
      <c r="L16" s="1"/>
      <c r="M16" t="str">
        <f>IF(ISERROR(VLOOKUP(L16,Cadastro!$D$3:$E$21,2,0)),"",(VLOOKUP(L16,Cadastro!$D$3:$E$21,2,0)))</f>
        <v/>
      </c>
      <c r="N16" s="16"/>
    </row>
    <row r="17" spans="1:14">
      <c r="A17" s="15">
        <v>43525</v>
      </c>
      <c r="B17" s="1">
        <v>15</v>
      </c>
      <c r="C17" s="1">
        <v>4</v>
      </c>
      <c r="D17" s="1" t="str">
        <f>IF(ISERROR(VLOOKUP(C17,Cadastro!$D$3:$E$21,2,0)),"",(VLOOKUP(C17,Cadastro!$D$3:$E$21,2,0)))</f>
        <v>Dione</v>
      </c>
      <c r="E17" s="1" t="s">
        <v>93</v>
      </c>
      <c r="F17" s="1">
        <v>5</v>
      </c>
      <c r="G17" s="1" t="s">
        <v>120</v>
      </c>
      <c r="H17" s="19">
        <v>176.8</v>
      </c>
      <c r="I17" s="19">
        <f>(F17*H17)</f>
        <v>884</v>
      </c>
      <c r="J17" s="48">
        <f t="shared" si="1"/>
        <v>43678</v>
      </c>
      <c r="K17"/>
      <c r="L17" s="1"/>
      <c r="M17" t="str">
        <f>IF(ISERROR(VLOOKUP(L17,Cadastro!$D$3:$E$21,2,0)),"",(VLOOKUP(L17,Cadastro!$D$3:$E$21,2,0)))</f>
        <v/>
      </c>
      <c r="N17" s="16"/>
    </row>
    <row r="18" spans="1:14">
      <c r="A18" s="15">
        <v>43525</v>
      </c>
      <c r="B18" s="1">
        <v>16</v>
      </c>
      <c r="C18" s="1">
        <v>7</v>
      </c>
      <c r="D18" s="1" t="str">
        <f>IF(ISERROR(VLOOKUP(C18,Cadastro!$D$3:$E$21,2,0)),"",(VLOOKUP(C18,Cadastro!$D$3:$E$21,2,0)))</f>
        <v>Fernandinho</v>
      </c>
      <c r="E18" s="1" t="s">
        <v>45</v>
      </c>
      <c r="F18" s="1">
        <v>8</v>
      </c>
      <c r="G18" s="1" t="s">
        <v>28</v>
      </c>
      <c r="H18" s="19">
        <v>75</v>
      </c>
      <c r="I18" s="19">
        <f t="shared" si="0"/>
        <v>600</v>
      </c>
      <c r="J18" s="48">
        <f t="shared" si="1"/>
        <v>43770</v>
      </c>
      <c r="K18"/>
      <c r="L18" s="1"/>
      <c r="M18"/>
      <c r="N18" s="16"/>
    </row>
    <row r="19" spans="1:14">
      <c r="A19" s="15">
        <v>43525</v>
      </c>
      <c r="B19" s="1">
        <v>17</v>
      </c>
      <c r="C19" s="1">
        <v>3</v>
      </c>
      <c r="D19" s="1" t="str">
        <f>IF(ISERROR(VLOOKUP(C19,Cadastro!$D$3:$E$21,2,0)),"",(VLOOKUP(C19,Cadastro!$D$3:$E$21,2,0)))</f>
        <v>Irmã</v>
      </c>
      <c r="E19" s="1" t="s">
        <v>125</v>
      </c>
      <c r="F19" s="1">
        <v>4</v>
      </c>
      <c r="G19" s="1" t="s">
        <v>126</v>
      </c>
      <c r="H19" s="19">
        <v>17.98</v>
      </c>
      <c r="I19" s="19">
        <f>(F19*H19)</f>
        <v>71.92</v>
      </c>
      <c r="J19" s="48">
        <f t="shared" si="1"/>
        <v>43647</v>
      </c>
      <c r="K19"/>
      <c r="L19" s="1"/>
      <c r="M19"/>
      <c r="N19" s="16"/>
    </row>
    <row r="20" spans="1:14">
      <c r="A20" s="15">
        <v>43525</v>
      </c>
      <c r="B20" s="1">
        <v>18</v>
      </c>
      <c r="C20" s="1">
        <v>3</v>
      </c>
      <c r="D20" s="1" t="str">
        <f>IF(ISERROR(VLOOKUP(C20,Cadastro!$D$3:$E$21,2,0)),"",(VLOOKUP(C20,Cadastro!$D$3:$E$21,2,0)))</f>
        <v>Irmã</v>
      </c>
      <c r="E20" s="1" t="s">
        <v>46</v>
      </c>
      <c r="F20" s="1">
        <v>1</v>
      </c>
      <c r="G20" s="1" t="s">
        <v>28</v>
      </c>
      <c r="H20" s="19">
        <v>36.049999999999997</v>
      </c>
      <c r="I20" s="19">
        <f t="shared" si="0"/>
        <v>36.049999999999997</v>
      </c>
      <c r="J20" s="48">
        <f t="shared" si="1"/>
        <v>43556</v>
      </c>
      <c r="K20"/>
      <c r="L20" s="1"/>
      <c r="M20"/>
      <c r="N20" s="16"/>
    </row>
    <row r="21" spans="1:14">
      <c r="A21" s="15">
        <v>43525</v>
      </c>
      <c r="B21" s="1">
        <v>19</v>
      </c>
      <c r="C21" s="1">
        <v>1</v>
      </c>
      <c r="D21" s="1" t="str">
        <f>IF(ISERROR(VLOOKUP(C21,Cadastro!$D$3:$E$21,2,0)),"",(VLOOKUP(C21,Cadastro!$D$3:$E$21,2,0)))</f>
        <v>Mãe</v>
      </c>
      <c r="E21" s="1" t="s">
        <v>43</v>
      </c>
      <c r="F21" s="1">
        <v>5</v>
      </c>
      <c r="G21" s="1" t="s">
        <v>28</v>
      </c>
      <c r="H21" s="19">
        <v>60.98</v>
      </c>
      <c r="I21" s="19">
        <f t="shared" si="0"/>
        <v>304.89999999999998</v>
      </c>
      <c r="J21" s="48">
        <f t="shared" si="1"/>
        <v>43678</v>
      </c>
      <c r="K21"/>
      <c r="L21" s="1"/>
      <c r="M21"/>
      <c r="N21" s="16"/>
    </row>
    <row r="22" spans="1:14">
      <c r="A22" s="15">
        <v>43525</v>
      </c>
      <c r="B22" s="1">
        <v>20</v>
      </c>
      <c r="C22" s="1">
        <v>2</v>
      </c>
      <c r="D22" s="1" t="str">
        <f>IF(ISERROR(VLOOKUP(C22,Cadastro!$D$3:$E$21,2,0)),"",(VLOOKUP(C22,Cadastro!$D$3:$E$21,2,0)))</f>
        <v>Paulo</v>
      </c>
      <c r="E22" s="1" t="s">
        <v>47</v>
      </c>
      <c r="F22" s="1">
        <v>2</v>
      </c>
      <c r="G22" s="1" t="s">
        <v>28</v>
      </c>
      <c r="H22" s="19">
        <v>27.1</v>
      </c>
      <c r="I22" s="19">
        <f t="shared" si="0"/>
        <v>54.2</v>
      </c>
      <c r="J22" s="48">
        <f t="shared" si="1"/>
        <v>43586</v>
      </c>
      <c r="K22"/>
      <c r="L22" s="1"/>
      <c r="M22"/>
      <c r="N22" s="16"/>
    </row>
    <row r="23" spans="1:14">
      <c r="A23" s="15">
        <v>43534</v>
      </c>
      <c r="B23" s="1">
        <v>21</v>
      </c>
      <c r="C23" s="1">
        <v>6</v>
      </c>
      <c r="D23" s="1" t="str">
        <f>IF(ISERROR(VLOOKUP(C23,Cadastro!$D$3:$E$21,2,0)),"",(VLOOKUP(C23,Cadastro!$D$3:$E$21,2,0)))</f>
        <v>Allan</v>
      </c>
      <c r="E23" s="1" t="s">
        <v>48</v>
      </c>
      <c r="F23" s="1">
        <v>1</v>
      </c>
      <c r="G23" s="1" t="s">
        <v>49</v>
      </c>
      <c r="H23" s="19">
        <v>6</v>
      </c>
      <c r="I23" s="19">
        <f t="shared" si="0"/>
        <v>6</v>
      </c>
      <c r="J23" s="48">
        <f t="shared" si="1"/>
        <v>43565</v>
      </c>
      <c r="K23"/>
      <c r="L23" s="1"/>
      <c r="M23"/>
      <c r="N23" s="16"/>
    </row>
    <row r="24" spans="1:14">
      <c r="A24" s="15">
        <v>43525</v>
      </c>
      <c r="B24" s="1">
        <v>22</v>
      </c>
      <c r="C24" s="1">
        <v>6</v>
      </c>
      <c r="D24" s="1" t="str">
        <f>IF(ISERROR(VLOOKUP(C24,Cadastro!$D$3:$E$21,2,0)),"",(VLOOKUP(C24,Cadastro!$D$3:$E$21,2,0)))</f>
        <v>Allan</v>
      </c>
      <c r="E24" s="1" t="s">
        <v>50</v>
      </c>
      <c r="F24" s="1">
        <v>1</v>
      </c>
      <c r="G24" s="1" t="s">
        <v>49</v>
      </c>
      <c r="H24" s="19">
        <v>48.65</v>
      </c>
      <c r="I24" s="19">
        <f t="shared" si="0"/>
        <v>48.65</v>
      </c>
      <c r="J24" s="48">
        <f t="shared" si="1"/>
        <v>43556</v>
      </c>
      <c r="K24"/>
      <c r="L24" s="1"/>
      <c r="M24"/>
      <c r="N24" s="16"/>
    </row>
    <row r="25" spans="1:14">
      <c r="A25" s="15">
        <v>43525</v>
      </c>
      <c r="B25" s="1">
        <v>23</v>
      </c>
      <c r="C25" s="1">
        <v>1</v>
      </c>
      <c r="D25" s="1" t="str">
        <f>IF(ISERROR(VLOOKUP(C25,Cadastro!$D$3:$E$21,2,0)),"",(VLOOKUP(C25,Cadastro!$D$3:$E$21,2,0)))</f>
        <v>Mãe</v>
      </c>
      <c r="E25" s="1" t="s">
        <v>93</v>
      </c>
      <c r="F25" s="1">
        <v>3</v>
      </c>
      <c r="G25" s="1" t="s">
        <v>120</v>
      </c>
      <c r="H25" s="19">
        <v>100</v>
      </c>
      <c r="I25" s="19">
        <f>(F25*H25)</f>
        <v>300</v>
      </c>
      <c r="J25" s="48">
        <f t="shared" si="1"/>
        <v>43617</v>
      </c>
      <c r="K25"/>
      <c r="L25" s="1"/>
      <c r="M25"/>
      <c r="N25" s="16"/>
    </row>
    <row r="26" spans="1:14">
      <c r="A26" s="15">
        <v>43535</v>
      </c>
      <c r="B26" s="1">
        <v>24</v>
      </c>
      <c r="C26" s="1">
        <v>6</v>
      </c>
      <c r="D26" s="1" t="str">
        <f>IF(ISERROR(VLOOKUP(C26,Cadastro!$D$3:$E$21,2,0)),"",(VLOOKUP(C26,Cadastro!$D$3:$E$21,2,0)))</f>
        <v>Allan</v>
      </c>
      <c r="E26" s="1" t="s">
        <v>94</v>
      </c>
      <c r="F26" s="1">
        <v>1</v>
      </c>
      <c r="G26" s="1" t="s">
        <v>37</v>
      </c>
      <c r="H26" s="19">
        <v>12.5</v>
      </c>
      <c r="I26" s="19">
        <f>(F26*H26)</f>
        <v>12.5</v>
      </c>
      <c r="J26" s="48">
        <f t="shared" si="1"/>
        <v>43566</v>
      </c>
      <c r="K26"/>
      <c r="L26" s="1"/>
      <c r="M26"/>
      <c r="N26" s="16"/>
    </row>
    <row r="27" spans="1:14">
      <c r="A27" s="15">
        <v>43537</v>
      </c>
      <c r="B27" s="1">
        <v>25</v>
      </c>
      <c r="C27" s="1">
        <v>2</v>
      </c>
      <c r="D27" s="1" t="str">
        <f>IF(ISERROR(VLOOKUP(C27,Cadastro!$D$3:$E$21,2,0)),"",(VLOOKUP(C27,Cadastro!$D$3:$E$21,2,0)))</f>
        <v>Paulo</v>
      </c>
      <c r="E27" s="1" t="s">
        <v>92</v>
      </c>
      <c r="F27" s="1">
        <v>12</v>
      </c>
      <c r="G27" s="1" t="s">
        <v>49</v>
      </c>
      <c r="H27" s="19">
        <v>70.819999999999993</v>
      </c>
      <c r="I27" s="19">
        <f t="shared" si="0"/>
        <v>849.83999999999992</v>
      </c>
      <c r="J27" s="48">
        <f t="shared" si="1"/>
        <v>43903</v>
      </c>
      <c r="K27"/>
      <c r="L27" s="1"/>
      <c r="M27"/>
      <c r="N27" s="16"/>
    </row>
    <row r="28" spans="1:14">
      <c r="A28" s="15">
        <v>43539</v>
      </c>
      <c r="B28" s="1">
        <v>26</v>
      </c>
      <c r="C28" s="1">
        <v>2</v>
      </c>
      <c r="D28" s="1" t="str">
        <f>IF(ISERROR(VLOOKUP(C28,Cadastro!$D$3:$E$21,2,0)),"",(VLOOKUP(C28,Cadastro!$D$3:$E$21,2,0)))</f>
        <v>Paulo</v>
      </c>
      <c r="E28" s="1" t="s">
        <v>96</v>
      </c>
      <c r="F28" s="1">
        <v>5</v>
      </c>
      <c r="G28" s="1" t="s">
        <v>70</v>
      </c>
      <c r="H28" s="19">
        <v>49.99</v>
      </c>
      <c r="I28" s="19">
        <f t="shared" si="0"/>
        <v>249.95000000000002</v>
      </c>
      <c r="J28" s="48">
        <f t="shared" si="1"/>
        <v>43692</v>
      </c>
      <c r="K28"/>
      <c r="L28" s="1"/>
      <c r="M28"/>
      <c r="N28" s="16"/>
    </row>
    <row r="29" spans="1:14">
      <c r="A29" s="15">
        <v>43545</v>
      </c>
      <c r="B29" s="1">
        <v>27</v>
      </c>
      <c r="C29" s="1">
        <v>2</v>
      </c>
      <c r="D29" s="1" t="str">
        <f>IF(ISERROR(VLOOKUP(C29,Cadastro!$D$3:$E$21,2,0)),"",(VLOOKUP(C29,Cadastro!$D$3:$E$21,2,0)))</f>
        <v>Paulo</v>
      </c>
      <c r="E29" s="1" t="s">
        <v>134</v>
      </c>
      <c r="F29" s="1">
        <v>5</v>
      </c>
      <c r="G29" s="1" t="s">
        <v>70</v>
      </c>
      <c r="H29" s="19">
        <v>49.99</v>
      </c>
      <c r="I29" s="19">
        <f t="shared" si="0"/>
        <v>249.95000000000002</v>
      </c>
      <c r="J29" s="48">
        <f t="shared" si="1"/>
        <v>43698</v>
      </c>
      <c r="K29"/>
      <c r="L29" s="1"/>
      <c r="M29"/>
      <c r="N29" s="16"/>
    </row>
    <row r="30" spans="1:14">
      <c r="A30" s="1"/>
      <c r="B30" s="1"/>
      <c r="C30" s="1"/>
      <c r="D30" s="1" t="str">
        <f>IF(ISERROR(VLOOKUP(C30,Cadastro!$D$3:$E$21,2,0)),"",(VLOOKUP(C30,Cadastro!$D$3:$E$21,2,0)))</f>
        <v/>
      </c>
      <c r="E30" s="1"/>
      <c r="F30" s="1"/>
      <c r="G30" s="1"/>
      <c r="H30" s="19"/>
      <c r="I30" s="19">
        <f t="shared" si="0"/>
        <v>0</v>
      </c>
      <c r="J30" s="48"/>
      <c r="K30"/>
      <c r="L30" s="1"/>
      <c r="M30"/>
      <c r="N30" s="16"/>
    </row>
    <row r="31" spans="1:14">
      <c r="A31" s="1"/>
      <c r="B31" s="1"/>
      <c r="C31" s="1"/>
      <c r="D31" s="1" t="str">
        <f>IF(ISERROR(VLOOKUP(C31,Cadastro!$D$3:$E$21,2,0)),"",(VLOOKUP(C31,Cadastro!$D$3:$E$21,2,0)))</f>
        <v/>
      </c>
      <c r="E31" s="1"/>
      <c r="F31" s="1"/>
      <c r="G31" s="1"/>
      <c r="H31" s="19"/>
      <c r="I31" s="19">
        <f t="shared" si="0"/>
        <v>0</v>
      </c>
      <c r="J31" s="19"/>
      <c r="K31"/>
      <c r="L31" s="1"/>
      <c r="M31"/>
      <c r="N31" s="16"/>
    </row>
    <row r="32" spans="1:14">
      <c r="A32" s="1"/>
      <c r="B32" s="1"/>
      <c r="C32" s="1"/>
      <c r="D32" s="1" t="str">
        <f>IF(ISERROR(VLOOKUP(C32,Cadastro!$D$3:$E$21,2,0)),"",(VLOOKUP(C32,Cadastro!$D$3:$E$21,2,0)))</f>
        <v/>
      </c>
      <c r="E32" s="1"/>
      <c r="F32" s="1"/>
      <c r="G32" s="1"/>
      <c r="H32" s="19"/>
      <c r="I32" s="19">
        <f t="shared" si="0"/>
        <v>0</v>
      </c>
      <c r="J32" s="19"/>
      <c r="K32"/>
      <c r="L32" s="1"/>
      <c r="M32"/>
      <c r="N32" s="16"/>
    </row>
    <row r="33" spans="1:14">
      <c r="A33" s="1"/>
      <c r="B33" s="1"/>
      <c r="C33" s="1"/>
      <c r="D33" s="1" t="str">
        <f>IF(ISERROR(VLOOKUP(C33,Cadastro!$D$3:$E$21,2,0)),"",(VLOOKUP(C33,Cadastro!$D$3:$E$21,2,0)))</f>
        <v/>
      </c>
      <c r="E33" s="1"/>
      <c r="F33" s="1"/>
      <c r="G33" s="1"/>
      <c r="H33" s="19"/>
      <c r="I33" s="19">
        <f t="shared" si="0"/>
        <v>0</v>
      </c>
      <c r="J33" s="19"/>
      <c r="K33"/>
      <c r="L33" s="1"/>
      <c r="M33"/>
      <c r="N33" s="16"/>
    </row>
    <row r="34" spans="1:14">
      <c r="A34" s="1"/>
      <c r="B34" s="1"/>
      <c r="C34" s="1"/>
      <c r="D34" s="1" t="str">
        <f>IF(ISERROR(VLOOKUP(C34,Cadastro!$D$3:$E$21,2,0)),"",(VLOOKUP(C34,Cadastro!$D$3:$E$21,2,0)))</f>
        <v/>
      </c>
      <c r="E34" s="1"/>
      <c r="F34" s="1"/>
      <c r="G34" s="1"/>
      <c r="H34" s="19"/>
      <c r="I34" s="19">
        <f t="shared" si="0"/>
        <v>0</v>
      </c>
      <c r="J34" s="19"/>
      <c r="K34"/>
      <c r="L34" s="1"/>
      <c r="M34"/>
      <c r="N34" s="16"/>
    </row>
    <row r="35" spans="1:14">
      <c r="A35" s="1"/>
      <c r="B35" s="1"/>
      <c r="C35" s="1"/>
      <c r="D35" s="1" t="str">
        <f>IF(ISERROR(VLOOKUP(C35,Cadastro!$D$3:$E$21,2,0)),"",(VLOOKUP(C35,Cadastro!$D$3:$E$21,2,0)))</f>
        <v/>
      </c>
      <c r="E35" s="1"/>
      <c r="F35" s="1"/>
      <c r="G35" s="1"/>
      <c r="H35" s="19"/>
      <c r="I35" s="19">
        <f t="shared" si="0"/>
        <v>0</v>
      </c>
      <c r="J35" s="19"/>
      <c r="K35"/>
      <c r="L35" s="1"/>
      <c r="M35"/>
      <c r="N35" s="16"/>
    </row>
    <row r="36" spans="1:14">
      <c r="A36" s="1"/>
      <c r="B36" s="1"/>
      <c r="C36" s="1"/>
      <c r="D36" s="1" t="str">
        <f>IF(ISERROR(VLOOKUP(C36,Cadastro!$D$3:$E$21,2,0)),"",(VLOOKUP(C36,Cadastro!$D$3:$E$21,2,0)))</f>
        <v/>
      </c>
      <c r="E36" s="1"/>
      <c r="F36" s="1"/>
      <c r="G36" s="1"/>
      <c r="H36" s="19"/>
      <c r="I36" s="19">
        <f t="shared" si="0"/>
        <v>0</v>
      </c>
      <c r="J36" s="19"/>
      <c r="K36"/>
      <c r="L36" s="1"/>
      <c r="M36"/>
      <c r="N36" s="16"/>
    </row>
    <row r="37" spans="1:14">
      <c r="A37" s="1"/>
      <c r="B37" s="1"/>
      <c r="C37" s="1"/>
      <c r="D37" s="1" t="str">
        <f>IF(ISERROR(VLOOKUP(C37,Cadastro!$D$3:$E$21,2,0)),"",(VLOOKUP(C37,Cadastro!$D$3:$E$21,2,0)))</f>
        <v/>
      </c>
      <c r="E37" s="1"/>
      <c r="F37" s="1"/>
      <c r="G37" s="1"/>
      <c r="H37" s="19"/>
      <c r="I37" s="19">
        <f t="shared" si="0"/>
        <v>0</v>
      </c>
      <c r="J37" s="19"/>
      <c r="K37"/>
      <c r="L37" s="1"/>
      <c r="M37"/>
      <c r="N37" s="16"/>
    </row>
    <row r="38" spans="1:14">
      <c r="A38" s="1"/>
      <c r="B38" s="1"/>
      <c r="C38" s="1"/>
      <c r="D38" s="1" t="str">
        <f>IF(ISERROR(VLOOKUP(C38,Cadastro!$D$3:$E$21,2,0)),"",(VLOOKUP(C38,Cadastro!$D$3:$E$21,2,0)))</f>
        <v/>
      </c>
      <c r="E38" s="1"/>
      <c r="F38" s="1"/>
      <c r="G38" s="1"/>
      <c r="H38" s="19"/>
      <c r="I38" s="19">
        <f t="shared" si="0"/>
        <v>0</v>
      </c>
      <c r="J38" s="19"/>
      <c r="K38"/>
      <c r="L38" s="1"/>
      <c r="M38"/>
      <c r="N38" s="16"/>
    </row>
    <row r="39" spans="1:14">
      <c r="A39" s="1"/>
      <c r="B39" s="1"/>
      <c r="C39" s="1"/>
      <c r="D39" s="1" t="str">
        <f>IF(ISERROR(VLOOKUP(C39,Cadastro!$D$3:$E$21,2,0)),"",(VLOOKUP(C39,Cadastro!$D$3:$E$21,2,0)))</f>
        <v/>
      </c>
      <c r="E39" s="1"/>
      <c r="F39" s="1"/>
      <c r="G39" s="1"/>
      <c r="H39" s="19"/>
      <c r="I39" s="19">
        <f t="shared" si="0"/>
        <v>0</v>
      </c>
      <c r="J39" s="19"/>
      <c r="K39"/>
      <c r="L39" s="1"/>
      <c r="M39"/>
      <c r="N39" s="16"/>
    </row>
    <row r="40" spans="1:14">
      <c r="A40" s="1"/>
      <c r="B40" s="1"/>
      <c r="C40" s="1"/>
      <c r="D40" s="1" t="str">
        <f>IF(ISERROR(VLOOKUP(C40,Cadastro!$D$3:$E$21,2,0)),"",(VLOOKUP(C40,Cadastro!$D$3:$E$21,2,0)))</f>
        <v/>
      </c>
      <c r="E40" s="1"/>
      <c r="F40" s="1"/>
      <c r="G40" s="1"/>
      <c r="H40" s="19"/>
      <c r="I40" s="19">
        <f t="shared" si="0"/>
        <v>0</v>
      </c>
      <c r="J40" s="19"/>
      <c r="K40"/>
      <c r="L40" s="1"/>
      <c r="M40"/>
      <c r="N40" s="16"/>
    </row>
    <row r="41" spans="1:14">
      <c r="A41" s="1"/>
      <c r="B41" s="1"/>
      <c r="C41" s="1"/>
      <c r="D41" s="1" t="str">
        <f>IF(ISERROR(VLOOKUP(C41,Cadastro!$D$3:$E$21,2,0)),"",(VLOOKUP(C41,Cadastro!$D$3:$E$21,2,0)))</f>
        <v/>
      </c>
      <c r="E41" s="1"/>
      <c r="F41" s="1"/>
      <c r="G41" s="1"/>
      <c r="H41" s="19"/>
      <c r="I41" s="19">
        <f t="shared" si="0"/>
        <v>0</v>
      </c>
      <c r="J41" s="19"/>
      <c r="K41"/>
      <c r="L41" s="1"/>
      <c r="M41"/>
      <c r="N41" s="16"/>
    </row>
    <row r="42" spans="1:14">
      <c r="A42" s="1"/>
      <c r="B42" s="1"/>
      <c r="C42" s="1"/>
      <c r="D42" s="1" t="str">
        <f>IF(ISERROR(VLOOKUP(C42,Cadastro!$D$3:$E$21,2,0)),"",(VLOOKUP(C42,Cadastro!$D$3:$E$21,2,0)))</f>
        <v/>
      </c>
      <c r="E42" s="1"/>
      <c r="F42" s="1"/>
      <c r="G42" s="1"/>
      <c r="H42" s="19"/>
      <c r="I42" s="19">
        <f t="shared" si="0"/>
        <v>0</v>
      </c>
      <c r="J42" s="19"/>
      <c r="K42"/>
      <c r="L42" s="1"/>
      <c r="M42"/>
      <c r="N42" s="16"/>
    </row>
    <row r="43" spans="1:14">
      <c r="A43" s="1"/>
      <c r="B43" s="1"/>
      <c r="C43" s="1"/>
      <c r="D43" s="1" t="str">
        <f>IF(ISERROR(VLOOKUP(C43,Cadastro!$D$3:$E$21,2,0)),"",(VLOOKUP(C43,Cadastro!$D$3:$E$21,2,0)))</f>
        <v/>
      </c>
      <c r="E43" s="1"/>
      <c r="F43" s="1"/>
      <c r="G43" s="1"/>
      <c r="H43" s="19"/>
      <c r="I43" s="19">
        <f t="shared" si="0"/>
        <v>0</v>
      </c>
      <c r="J43" s="19"/>
      <c r="K43"/>
      <c r="L43" s="1"/>
      <c r="M43"/>
      <c r="N43" s="16"/>
    </row>
    <row r="44" spans="1:14">
      <c r="A44" s="1"/>
      <c r="B44" s="1"/>
      <c r="C44" s="1"/>
      <c r="D44" s="1" t="str">
        <f>IF(ISERROR(VLOOKUP(C44,Cadastro!$D$3:$E$21,2,0)),"",(VLOOKUP(C44,Cadastro!$D$3:$E$21,2,0)))</f>
        <v/>
      </c>
      <c r="E44" s="1"/>
      <c r="F44" s="1"/>
      <c r="G44" s="1"/>
      <c r="H44" s="19"/>
      <c r="I44" s="19">
        <f t="shared" si="0"/>
        <v>0</v>
      </c>
      <c r="J44" s="19"/>
      <c r="K44"/>
      <c r="L44" s="1"/>
      <c r="M44"/>
      <c r="N44" s="16"/>
    </row>
    <row r="45" spans="1:14">
      <c r="A45" s="1"/>
      <c r="B45" s="1"/>
      <c r="C45" s="1"/>
      <c r="D45" s="1" t="str">
        <f>IF(ISERROR(VLOOKUP(C45,Cadastro!$D$3:$E$21,2,0)),"",(VLOOKUP(C45,Cadastro!$D$3:$E$21,2,0)))</f>
        <v/>
      </c>
      <c r="E45" s="1"/>
      <c r="F45" s="1"/>
      <c r="G45" s="1"/>
      <c r="H45" s="19"/>
      <c r="I45" s="19">
        <f t="shared" si="0"/>
        <v>0</v>
      </c>
      <c r="J45" s="19"/>
      <c r="K45"/>
      <c r="L45" s="1"/>
      <c r="M45"/>
      <c r="N45" s="16"/>
    </row>
    <row r="46" spans="1:14">
      <c r="A46" s="1"/>
      <c r="B46" s="1"/>
      <c r="C46" s="1"/>
      <c r="D46" s="1" t="str">
        <f>IF(ISERROR(VLOOKUP(C46,Cadastro!$D$3:$E$21,2,0)),"",(VLOOKUP(C46,Cadastro!$D$3:$E$21,2,0)))</f>
        <v/>
      </c>
      <c r="E46" s="1"/>
      <c r="F46" s="1"/>
      <c r="G46" s="1"/>
      <c r="H46" s="19"/>
      <c r="I46" s="19">
        <f t="shared" si="0"/>
        <v>0</v>
      </c>
      <c r="J46" s="19"/>
      <c r="K46"/>
      <c r="L46" s="1"/>
      <c r="M46"/>
      <c r="N46" s="16"/>
    </row>
    <row r="47" spans="1:14">
      <c r="A47" s="1"/>
      <c r="B47" s="1"/>
      <c r="C47" s="1"/>
      <c r="D47" s="1" t="str">
        <f>IF(ISERROR(VLOOKUP(C47,Cadastro!$D$3:$E$21,2,0)),"",(VLOOKUP(C47,Cadastro!$D$3:$E$21,2,0)))</f>
        <v/>
      </c>
      <c r="E47" s="1"/>
      <c r="F47" s="1"/>
      <c r="G47" s="1"/>
      <c r="H47" s="19"/>
      <c r="I47" s="19">
        <f t="shared" si="0"/>
        <v>0</v>
      </c>
      <c r="J47" s="19"/>
      <c r="K47"/>
      <c r="L47" s="1"/>
      <c r="M47"/>
      <c r="N47" s="16"/>
    </row>
    <row r="48" spans="1:14">
      <c r="A48" s="1"/>
      <c r="B48" s="1"/>
      <c r="C48" s="1"/>
      <c r="D48" s="1" t="str">
        <f>IF(ISERROR(VLOOKUP(C48,Cadastro!$D$3:$E$21,2,0)),"",(VLOOKUP(C48,Cadastro!$D$3:$E$21,2,0)))</f>
        <v/>
      </c>
      <c r="E48" s="1"/>
      <c r="F48" s="1"/>
      <c r="G48" s="1"/>
      <c r="H48" s="19"/>
      <c r="I48" s="19">
        <f t="shared" si="0"/>
        <v>0</v>
      </c>
      <c r="J48" s="19"/>
      <c r="K48"/>
      <c r="L48" s="1"/>
      <c r="M48"/>
      <c r="N48" s="16"/>
    </row>
    <row r="49" spans="1:14">
      <c r="A49" s="1"/>
      <c r="B49" s="1"/>
      <c r="C49" s="1"/>
      <c r="D49" s="1" t="str">
        <f>IF(ISERROR(VLOOKUP(C49,Cadastro!$D$3:$E$21,2,0)),"",(VLOOKUP(C49,Cadastro!$D$3:$E$21,2,0)))</f>
        <v/>
      </c>
      <c r="E49" s="1"/>
      <c r="F49" s="1"/>
      <c r="G49" s="1"/>
      <c r="H49" s="19"/>
      <c r="I49" s="19">
        <f t="shared" si="0"/>
        <v>0</v>
      </c>
      <c r="J49" s="19"/>
      <c r="K49"/>
      <c r="L49" s="1"/>
      <c r="M49"/>
      <c r="N49" s="16"/>
    </row>
    <row r="50" spans="1:14">
      <c r="A50" s="1"/>
      <c r="B50" s="1"/>
      <c r="C50" s="1"/>
      <c r="D50" s="1" t="str">
        <f>IF(ISERROR(VLOOKUP(C50,Cadastro!$D$3:$E$21,2,0)),"",(VLOOKUP(C50,Cadastro!$D$3:$E$21,2,0)))</f>
        <v/>
      </c>
      <c r="E50" s="1"/>
      <c r="F50" s="1"/>
      <c r="G50" s="19"/>
      <c r="H50" s="19"/>
      <c r="I50" s="19">
        <f t="shared" ref="I50:I81" si="2">(F50*H50)</f>
        <v>0</v>
      </c>
      <c r="J50" s="1"/>
    </row>
    <row r="51" spans="1:14">
      <c r="A51" s="1"/>
      <c r="B51" s="1"/>
      <c r="C51" s="1"/>
      <c r="D51" s="1" t="str">
        <f>IF(ISERROR(VLOOKUP(C51,Cadastro!$D$3:$E$21,2,0)),"",(VLOOKUP(C51,Cadastro!$D$3:$E$21,2,0)))</f>
        <v/>
      </c>
      <c r="E51" s="1"/>
      <c r="F51" s="1"/>
      <c r="G51" s="19"/>
      <c r="H51" s="19"/>
      <c r="I51" s="19">
        <f t="shared" si="2"/>
        <v>0</v>
      </c>
      <c r="J51" s="1"/>
    </row>
    <row r="52" spans="1:14">
      <c r="A52" s="1"/>
      <c r="B52" s="1"/>
      <c r="C52" s="1"/>
      <c r="D52" s="1" t="str">
        <f>IF(ISERROR(VLOOKUP(C52,Cadastro!$D$3:$E$21,2,0)),"",(VLOOKUP(C52,Cadastro!$D$3:$E$21,2,0)))</f>
        <v/>
      </c>
      <c r="E52" s="1"/>
      <c r="F52" s="1"/>
      <c r="G52" s="19"/>
      <c r="H52" s="19"/>
      <c r="I52" s="19">
        <f t="shared" si="2"/>
        <v>0</v>
      </c>
      <c r="J52" s="1"/>
    </row>
    <row r="53" spans="1:14">
      <c r="A53" s="1"/>
      <c r="B53" s="1"/>
      <c r="C53" s="1"/>
      <c r="D53" s="1" t="str">
        <f>IF(ISERROR(VLOOKUP(C53,Cadastro!$D$3:$E$21,2,0)),"",(VLOOKUP(C53,Cadastro!$D$3:$E$21,2,0)))</f>
        <v/>
      </c>
      <c r="E53" s="1"/>
      <c r="F53" s="1"/>
      <c r="G53" s="19"/>
      <c r="H53" s="19"/>
      <c r="I53" s="19">
        <f t="shared" si="2"/>
        <v>0</v>
      </c>
      <c r="J53" s="1"/>
    </row>
    <row r="54" spans="1:14">
      <c r="A54" s="1"/>
      <c r="B54" s="1"/>
      <c r="C54" s="1"/>
      <c r="D54" s="1" t="str">
        <f>IF(ISERROR(VLOOKUP(C54,Cadastro!$D$3:$E$21,2,0)),"",(VLOOKUP(C54,Cadastro!$D$3:$E$21,2,0)))</f>
        <v/>
      </c>
      <c r="E54" s="1"/>
      <c r="F54" s="1"/>
      <c r="G54" s="19"/>
      <c r="H54" s="19"/>
      <c r="I54" s="19">
        <f t="shared" si="2"/>
        <v>0</v>
      </c>
      <c r="J54" s="1"/>
    </row>
    <row r="55" spans="1:14">
      <c r="A55" s="1"/>
      <c r="B55" s="1"/>
      <c r="C55" s="1"/>
      <c r="D55" s="1" t="str">
        <f>IF(ISERROR(VLOOKUP(C55,Cadastro!$D$3:$E$21,2,0)),"",(VLOOKUP(C55,Cadastro!$D$3:$E$21,2,0)))</f>
        <v/>
      </c>
      <c r="E55" s="1"/>
      <c r="F55" s="1"/>
      <c r="G55" s="19"/>
      <c r="H55" s="19"/>
      <c r="I55" s="19">
        <f t="shared" si="2"/>
        <v>0</v>
      </c>
      <c r="J55" s="1"/>
    </row>
    <row r="56" spans="1:14">
      <c r="A56" s="1"/>
      <c r="B56" s="1"/>
      <c r="C56" s="1"/>
      <c r="D56" s="1" t="str">
        <f>IF(ISERROR(VLOOKUP(C56,Cadastro!$D$3:$E$21,2,0)),"",(VLOOKUP(C56,Cadastro!$D$3:$E$21,2,0)))</f>
        <v/>
      </c>
      <c r="E56" s="1"/>
      <c r="F56" s="1"/>
      <c r="G56" s="19"/>
      <c r="H56" s="19"/>
      <c r="I56" s="19">
        <f t="shared" si="2"/>
        <v>0</v>
      </c>
      <c r="J56" s="1"/>
    </row>
    <row r="57" spans="1:14">
      <c r="A57" s="1"/>
      <c r="B57" s="1"/>
      <c r="C57" s="1"/>
      <c r="D57" s="1" t="str">
        <f>IF(ISERROR(VLOOKUP(C57,Cadastro!$D$3:$E$21,2,0)),"",(VLOOKUP(C57,Cadastro!$D$3:$E$21,2,0)))</f>
        <v/>
      </c>
      <c r="E57" s="1"/>
      <c r="F57" s="1"/>
      <c r="G57" s="19"/>
      <c r="H57" s="19"/>
      <c r="I57" s="19">
        <f t="shared" si="2"/>
        <v>0</v>
      </c>
      <c r="J57" s="1"/>
    </row>
    <row r="58" spans="1:14">
      <c r="A58" s="1"/>
      <c r="B58" s="1"/>
      <c r="C58" s="1"/>
      <c r="D58" s="1" t="str">
        <f>IF(ISERROR(VLOOKUP(C58,Cadastro!$D$3:$E$21,2,0)),"",(VLOOKUP(C58,Cadastro!$D$3:$E$21,2,0)))</f>
        <v/>
      </c>
      <c r="E58" s="1"/>
      <c r="F58" s="1"/>
      <c r="G58" s="19"/>
      <c r="H58" s="19"/>
      <c r="I58" s="19">
        <f t="shared" si="2"/>
        <v>0</v>
      </c>
      <c r="J58" s="1"/>
    </row>
    <row r="59" spans="1:14">
      <c r="A59" s="1"/>
      <c r="B59" s="1"/>
      <c r="C59" s="1"/>
      <c r="D59" s="1" t="str">
        <f>IF(ISERROR(VLOOKUP(C59,Cadastro!$D$3:$E$21,2,0)),"",(VLOOKUP(C59,Cadastro!$D$3:$E$21,2,0)))</f>
        <v/>
      </c>
      <c r="E59" s="1"/>
      <c r="F59" s="1"/>
      <c r="G59" s="19"/>
      <c r="H59" s="19"/>
      <c r="I59" s="19">
        <f t="shared" si="2"/>
        <v>0</v>
      </c>
      <c r="J59" s="1"/>
    </row>
    <row r="60" spans="1:14">
      <c r="A60" s="1"/>
      <c r="B60" s="1"/>
      <c r="C60" s="1"/>
      <c r="D60" s="1" t="str">
        <f>IF(ISERROR(VLOOKUP(C60,Cadastro!$D$3:$E$21,2,0)),"",(VLOOKUP(C60,Cadastro!$D$3:$E$21,2,0)))</f>
        <v/>
      </c>
      <c r="E60" s="1"/>
      <c r="F60" s="1"/>
      <c r="G60" s="19"/>
      <c r="H60" s="19"/>
      <c r="I60" s="19">
        <f t="shared" si="2"/>
        <v>0</v>
      </c>
      <c r="J60" s="1"/>
    </row>
    <row r="61" spans="1:14">
      <c r="A61" s="1"/>
      <c r="B61" s="1"/>
      <c r="C61" s="1"/>
      <c r="D61" s="1" t="str">
        <f>IF(ISERROR(VLOOKUP(C61,Cadastro!$D$3:$E$21,2,0)),"",(VLOOKUP(C61,Cadastro!$D$3:$E$21,2,0)))</f>
        <v/>
      </c>
      <c r="E61" s="1"/>
      <c r="F61" s="1"/>
      <c r="G61" s="19"/>
      <c r="H61" s="19"/>
      <c r="I61" s="19">
        <f t="shared" si="2"/>
        <v>0</v>
      </c>
      <c r="J61" s="1"/>
    </row>
    <row r="62" spans="1:14">
      <c r="A62" s="1"/>
      <c r="B62" s="1"/>
      <c r="C62" s="1"/>
      <c r="D62" s="1" t="str">
        <f>IF(ISERROR(VLOOKUP(C62,Cadastro!$D$3:$E$21,2,0)),"",(VLOOKUP(C62,Cadastro!$D$3:$E$21,2,0)))</f>
        <v/>
      </c>
      <c r="E62" s="1"/>
      <c r="F62" s="1"/>
      <c r="G62" s="19"/>
      <c r="H62" s="19"/>
      <c r="I62" s="19">
        <f t="shared" si="2"/>
        <v>0</v>
      </c>
      <c r="J62" s="1"/>
    </row>
    <row r="63" spans="1:14">
      <c r="A63" s="1"/>
      <c r="B63" s="1"/>
      <c r="C63" s="1"/>
      <c r="D63" s="1" t="str">
        <f>IF(ISERROR(VLOOKUP(C63,Cadastro!$D$3:$E$21,2,0)),"",(VLOOKUP(C63,Cadastro!$D$3:$E$21,2,0)))</f>
        <v/>
      </c>
      <c r="E63" s="1"/>
      <c r="F63" s="1"/>
      <c r="G63" s="19"/>
      <c r="H63" s="19"/>
      <c r="I63" s="19">
        <f t="shared" si="2"/>
        <v>0</v>
      </c>
      <c r="J63" s="1"/>
    </row>
    <row r="64" spans="1:14">
      <c r="A64" s="1"/>
      <c r="B64" s="1"/>
      <c r="C64" s="1"/>
      <c r="D64" s="1" t="str">
        <f>IF(ISERROR(VLOOKUP(C64,Cadastro!$D$3:$E$21,2,0)),"",(VLOOKUP(C64,Cadastro!$D$3:$E$21,2,0)))</f>
        <v/>
      </c>
      <c r="E64" s="1"/>
      <c r="F64" s="1"/>
      <c r="G64" s="19"/>
      <c r="H64" s="19"/>
      <c r="I64" s="19">
        <f t="shared" si="2"/>
        <v>0</v>
      </c>
      <c r="J64" s="1"/>
    </row>
    <row r="65" spans="1:10">
      <c r="A65" s="1"/>
      <c r="B65" s="1"/>
      <c r="C65" s="1"/>
      <c r="D65" s="1" t="str">
        <f>IF(ISERROR(VLOOKUP(C65,Cadastro!$D$3:$E$21,2,0)),"",(VLOOKUP(C65,Cadastro!$D$3:$E$21,2,0)))</f>
        <v/>
      </c>
      <c r="E65" s="1"/>
      <c r="F65" s="1"/>
      <c r="G65" s="19"/>
      <c r="H65" s="19"/>
      <c r="I65" s="19">
        <f t="shared" si="2"/>
        <v>0</v>
      </c>
      <c r="J65" s="1"/>
    </row>
    <row r="66" spans="1:10">
      <c r="A66" s="1"/>
      <c r="B66" s="1"/>
      <c r="C66" s="1"/>
      <c r="D66" s="1" t="str">
        <f>IF(ISERROR(VLOOKUP(C66,Cadastro!$D$3:$E$21,2,0)),"",(VLOOKUP(C66,Cadastro!$D$3:$E$21,2,0)))</f>
        <v/>
      </c>
      <c r="E66" s="1"/>
      <c r="F66" s="1"/>
      <c r="G66" s="19"/>
      <c r="H66" s="19"/>
      <c r="I66" s="19">
        <f t="shared" si="2"/>
        <v>0</v>
      </c>
      <c r="J66" s="1"/>
    </row>
    <row r="67" spans="1:10">
      <c r="A67" s="1"/>
      <c r="B67" s="1"/>
      <c r="C67" s="1"/>
      <c r="D67" s="1" t="str">
        <f>IF(ISERROR(VLOOKUP(C67,Cadastro!$D$3:$E$21,2,0)),"",(VLOOKUP(C67,Cadastro!$D$3:$E$21,2,0)))</f>
        <v/>
      </c>
      <c r="E67" s="1"/>
      <c r="F67" s="1"/>
      <c r="G67" s="19"/>
      <c r="H67" s="19"/>
      <c r="I67" s="19">
        <f t="shared" si="2"/>
        <v>0</v>
      </c>
      <c r="J67" s="1"/>
    </row>
    <row r="68" spans="1:10">
      <c r="A68" s="1"/>
      <c r="B68" s="1"/>
      <c r="C68" s="1"/>
      <c r="D68" s="1" t="str">
        <f>IF(ISERROR(VLOOKUP(C68,Cadastro!$D$3:$E$21,2,0)),"",(VLOOKUP(C68,Cadastro!$D$3:$E$21,2,0)))</f>
        <v/>
      </c>
      <c r="E68" s="1"/>
      <c r="F68" s="1"/>
      <c r="G68" s="19"/>
      <c r="H68" s="19"/>
      <c r="I68" s="19">
        <f t="shared" si="2"/>
        <v>0</v>
      </c>
      <c r="J68" s="1"/>
    </row>
    <row r="69" spans="1:10">
      <c r="A69" s="1"/>
      <c r="B69" s="1"/>
      <c r="C69" s="1"/>
      <c r="D69" s="1" t="str">
        <f>IF(ISERROR(VLOOKUP(C69,Cadastro!$D$3:$E$21,2,0)),"",(VLOOKUP(C69,Cadastro!$D$3:$E$21,2,0)))</f>
        <v/>
      </c>
      <c r="E69" s="1"/>
      <c r="F69" s="1"/>
      <c r="G69" s="19"/>
      <c r="H69" s="19"/>
      <c r="I69" s="19">
        <f t="shared" si="2"/>
        <v>0</v>
      </c>
      <c r="J69" s="1"/>
    </row>
    <row r="70" spans="1:10">
      <c r="A70" s="1"/>
      <c r="B70" s="1"/>
      <c r="C70" s="1"/>
      <c r="D70" s="1" t="str">
        <f>IF(ISERROR(VLOOKUP(C70,Cadastro!$D$3:$E$21,2,0)),"",(VLOOKUP(C70,Cadastro!$D$3:$E$21,2,0)))</f>
        <v/>
      </c>
      <c r="E70" s="1"/>
      <c r="F70" s="1"/>
      <c r="G70" s="19"/>
      <c r="H70" s="19"/>
      <c r="I70" s="19">
        <f t="shared" si="2"/>
        <v>0</v>
      </c>
      <c r="J70" s="1"/>
    </row>
    <row r="71" spans="1:10">
      <c r="A71" s="1"/>
      <c r="B71" s="1"/>
      <c r="C71" s="1"/>
      <c r="D71" s="1" t="str">
        <f>IF(ISERROR(VLOOKUP(C71,Cadastro!$D$3:$E$21,2,0)),"",(VLOOKUP(C71,Cadastro!$D$3:$E$21,2,0)))</f>
        <v/>
      </c>
      <c r="E71" s="1"/>
      <c r="F71" s="1"/>
      <c r="G71" s="19"/>
      <c r="H71" s="19"/>
      <c r="I71" s="19">
        <f t="shared" si="2"/>
        <v>0</v>
      </c>
      <c r="J71" s="1"/>
    </row>
    <row r="72" spans="1:10">
      <c r="A72" s="1"/>
      <c r="B72" s="1"/>
      <c r="C72" s="1"/>
      <c r="D72" s="1" t="str">
        <f>IF(ISERROR(VLOOKUP(C72,Cadastro!$D$3:$E$21,2,0)),"",(VLOOKUP(C72,Cadastro!$D$3:$E$21,2,0)))</f>
        <v/>
      </c>
      <c r="E72" s="1"/>
      <c r="F72" s="1"/>
      <c r="G72" s="19"/>
      <c r="H72" s="19"/>
      <c r="I72" s="19">
        <f t="shared" si="2"/>
        <v>0</v>
      </c>
      <c r="J72" s="1"/>
    </row>
    <row r="73" spans="1:10">
      <c r="A73" s="1"/>
      <c r="B73" s="1"/>
      <c r="C73" s="1"/>
      <c r="D73" s="1" t="str">
        <f>IF(ISERROR(VLOOKUP(C73,Cadastro!$D$3:$E$21,2,0)),"",(VLOOKUP(C73,Cadastro!$D$3:$E$21,2,0)))</f>
        <v/>
      </c>
      <c r="E73" s="1"/>
      <c r="F73" s="1"/>
      <c r="G73" s="19"/>
      <c r="H73" s="19"/>
      <c r="I73" s="19">
        <f t="shared" si="2"/>
        <v>0</v>
      </c>
      <c r="J73" s="1"/>
    </row>
    <row r="74" spans="1:10">
      <c r="A74" s="1"/>
      <c r="B74" s="1"/>
      <c r="C74" s="1"/>
      <c r="D74" s="1" t="str">
        <f>IF(ISERROR(VLOOKUP(C74,Cadastro!$D$3:$E$21,2,0)),"",(VLOOKUP(C74,Cadastro!$D$3:$E$21,2,0)))</f>
        <v/>
      </c>
      <c r="E74" s="1"/>
      <c r="F74" s="1"/>
      <c r="G74" s="19"/>
      <c r="H74" s="19"/>
      <c r="I74" s="19">
        <f t="shared" si="2"/>
        <v>0</v>
      </c>
      <c r="J74" s="1"/>
    </row>
    <row r="75" spans="1:10">
      <c r="A75" s="1"/>
      <c r="B75" s="1"/>
      <c r="C75" s="1"/>
      <c r="D75" s="1" t="str">
        <f>IF(ISERROR(VLOOKUP(C75,Cadastro!$D$3:$E$21,2,0)),"",(VLOOKUP(C75,Cadastro!$D$3:$E$21,2,0)))</f>
        <v/>
      </c>
      <c r="E75" s="1"/>
      <c r="F75" s="1"/>
      <c r="G75" s="19"/>
      <c r="H75" s="19"/>
      <c r="I75" s="19">
        <f t="shared" si="2"/>
        <v>0</v>
      </c>
      <c r="J75" s="1"/>
    </row>
    <row r="76" spans="1:10">
      <c r="A76" s="1"/>
      <c r="B76" s="1"/>
      <c r="C76" s="1"/>
      <c r="D76" s="1" t="str">
        <f>IF(ISERROR(VLOOKUP(C76,Cadastro!$D$3:$E$21,2,0)),"",(VLOOKUP(C76,Cadastro!$D$3:$E$21,2,0)))</f>
        <v/>
      </c>
      <c r="E76" s="1"/>
      <c r="F76" s="1"/>
      <c r="G76" s="19"/>
      <c r="H76" s="19"/>
      <c r="I76" s="19">
        <f t="shared" si="2"/>
        <v>0</v>
      </c>
      <c r="J76" s="1"/>
    </row>
    <row r="77" spans="1:10">
      <c r="A77" s="1"/>
      <c r="B77" s="1"/>
      <c r="C77" s="1"/>
      <c r="D77" s="1" t="str">
        <f>IF(ISERROR(VLOOKUP(C77,Cadastro!$D$3:$E$21,2,0)),"",(VLOOKUP(C77,Cadastro!$D$3:$E$21,2,0)))</f>
        <v/>
      </c>
      <c r="E77" s="1"/>
      <c r="F77" s="1"/>
      <c r="G77" s="19"/>
      <c r="H77" s="19"/>
      <c r="I77" s="19">
        <f t="shared" si="2"/>
        <v>0</v>
      </c>
      <c r="J77" s="1"/>
    </row>
    <row r="78" spans="1:10">
      <c r="A78" s="1"/>
      <c r="B78" s="1"/>
      <c r="C78" s="1"/>
      <c r="D78" s="1" t="str">
        <f>IF(ISERROR(VLOOKUP(C78,Cadastro!$D$3:$E$21,2,0)),"",(VLOOKUP(C78,Cadastro!$D$3:$E$21,2,0)))</f>
        <v/>
      </c>
      <c r="E78" s="1"/>
      <c r="F78" s="1"/>
      <c r="G78" s="19"/>
      <c r="H78" s="19"/>
      <c r="I78" s="19">
        <f t="shared" si="2"/>
        <v>0</v>
      </c>
      <c r="J78" s="1"/>
    </row>
    <row r="79" spans="1:10">
      <c r="A79" s="1"/>
      <c r="B79" s="1"/>
      <c r="C79" s="1"/>
      <c r="D79" s="1" t="str">
        <f>IF(ISERROR(VLOOKUP(C79,Cadastro!$D$3:$E$21,2,0)),"",(VLOOKUP(C79,Cadastro!$D$3:$E$21,2,0)))</f>
        <v/>
      </c>
      <c r="E79" s="1"/>
      <c r="F79" s="1"/>
      <c r="G79" s="19"/>
      <c r="H79" s="19"/>
      <c r="I79" s="19">
        <f t="shared" si="2"/>
        <v>0</v>
      </c>
      <c r="J79" s="1"/>
    </row>
    <row r="80" spans="1:10">
      <c r="A80" s="1"/>
      <c r="B80" s="1"/>
      <c r="C80" s="1"/>
      <c r="D80" s="1" t="str">
        <f>IF(ISERROR(VLOOKUP(C80,Cadastro!$D$3:$E$21,2,0)),"",(VLOOKUP(C80,Cadastro!$D$3:$E$21,2,0)))</f>
        <v/>
      </c>
      <c r="E80" s="1"/>
      <c r="F80" s="1"/>
      <c r="G80" s="19"/>
      <c r="H80" s="19"/>
      <c r="I80" s="19">
        <f t="shared" si="2"/>
        <v>0</v>
      </c>
      <c r="J80" s="1"/>
    </row>
    <row r="81" spans="1:10">
      <c r="A81" s="1"/>
      <c r="B81" s="1"/>
      <c r="C81" s="1"/>
      <c r="D81" s="1" t="str">
        <f>IF(ISERROR(VLOOKUP(C81,Cadastro!$D$3:$E$21,2,0)),"",(VLOOKUP(C81,Cadastro!$D$3:$E$21,2,0)))</f>
        <v/>
      </c>
      <c r="E81" s="1"/>
      <c r="F81" s="1"/>
      <c r="G81" s="19"/>
      <c r="H81" s="19"/>
      <c r="I81" s="19">
        <f t="shared" si="2"/>
        <v>0</v>
      </c>
      <c r="J81" s="1"/>
    </row>
    <row r="82" spans="1:10">
      <c r="A82" s="1"/>
      <c r="B82" s="1"/>
      <c r="C82" s="1"/>
      <c r="D82" s="1" t="str">
        <f>IF(ISERROR(VLOOKUP(C82,Cadastro!$D$3:$E$21,2,0)),"",(VLOOKUP(C82,Cadastro!$D$3:$E$21,2,0)))</f>
        <v/>
      </c>
      <c r="E82" s="1"/>
      <c r="F82" s="1"/>
      <c r="G82" s="19"/>
      <c r="H82" s="19"/>
      <c r="I82" s="19">
        <f t="shared" ref="I82:I100" si="3">(F82*H82)</f>
        <v>0</v>
      </c>
      <c r="J82" s="1"/>
    </row>
    <row r="83" spans="1:10">
      <c r="A83" s="1"/>
      <c r="B83" s="1"/>
      <c r="C83" s="1"/>
      <c r="D83" s="1" t="str">
        <f>IF(ISERROR(VLOOKUP(C83,Cadastro!$D$3:$E$21,2,0)),"",(VLOOKUP(C83,Cadastro!$D$3:$E$21,2,0)))</f>
        <v/>
      </c>
      <c r="E83" s="1"/>
      <c r="F83" s="1"/>
      <c r="G83" s="19"/>
      <c r="H83" s="19"/>
      <c r="I83" s="19">
        <f t="shared" si="3"/>
        <v>0</v>
      </c>
      <c r="J83" s="1"/>
    </row>
    <row r="84" spans="1:10">
      <c r="A84" s="1"/>
      <c r="B84" s="1"/>
      <c r="C84" s="1"/>
      <c r="D84" s="1" t="str">
        <f>IF(ISERROR(VLOOKUP(C84,Cadastro!$D$3:$E$21,2,0)),"",(VLOOKUP(C84,Cadastro!$D$3:$E$21,2,0)))</f>
        <v/>
      </c>
      <c r="E84" s="1"/>
      <c r="F84" s="1"/>
      <c r="G84" s="19"/>
      <c r="H84" s="19"/>
      <c r="I84" s="19">
        <f t="shared" si="3"/>
        <v>0</v>
      </c>
      <c r="J84" s="1"/>
    </row>
    <row r="85" spans="1:10">
      <c r="A85" s="1"/>
      <c r="B85" s="1"/>
      <c r="C85" s="1"/>
      <c r="D85" s="1" t="str">
        <f>IF(ISERROR(VLOOKUP(C85,Cadastro!$D$3:$E$21,2,0)),"",(VLOOKUP(C85,Cadastro!$D$3:$E$21,2,0)))</f>
        <v/>
      </c>
      <c r="E85" s="1"/>
      <c r="F85" s="1"/>
      <c r="G85" s="19"/>
      <c r="H85" s="19"/>
      <c r="I85" s="19">
        <f t="shared" si="3"/>
        <v>0</v>
      </c>
      <c r="J85" s="1"/>
    </row>
    <row r="86" spans="1:10">
      <c r="A86" s="1"/>
      <c r="B86" s="1"/>
      <c r="C86" s="1"/>
      <c r="D86" s="1" t="str">
        <f>IF(ISERROR(VLOOKUP(C86,Cadastro!$D$3:$E$21,2,0)),"",(VLOOKUP(C86,Cadastro!$D$3:$E$21,2,0)))</f>
        <v/>
      </c>
      <c r="E86" s="1"/>
      <c r="F86" s="1"/>
      <c r="G86" s="19"/>
      <c r="H86" s="19"/>
      <c r="I86" s="19">
        <f t="shared" si="3"/>
        <v>0</v>
      </c>
      <c r="J86" s="1"/>
    </row>
    <row r="87" spans="1:10">
      <c r="A87" s="1"/>
      <c r="B87" s="1"/>
      <c r="C87" s="1"/>
      <c r="D87" s="1" t="str">
        <f>IF(ISERROR(VLOOKUP(C87,Cadastro!$D$3:$E$21,2,0)),"",(VLOOKUP(C87,Cadastro!$D$3:$E$21,2,0)))</f>
        <v/>
      </c>
      <c r="E87" s="1"/>
      <c r="F87" s="1"/>
      <c r="G87" s="19"/>
      <c r="H87" s="19"/>
      <c r="I87" s="19">
        <f t="shared" si="3"/>
        <v>0</v>
      </c>
      <c r="J87" s="1"/>
    </row>
    <row r="88" spans="1:10">
      <c r="A88" s="1"/>
      <c r="B88" s="1"/>
      <c r="C88" s="1"/>
      <c r="D88" s="1" t="str">
        <f>IF(ISERROR(VLOOKUP(C88,Cadastro!$D$3:$E$21,2,0)),"",(VLOOKUP(C88,Cadastro!$D$3:$E$21,2,0)))</f>
        <v/>
      </c>
      <c r="E88" s="1"/>
      <c r="F88" s="1"/>
      <c r="G88" s="19"/>
      <c r="H88" s="19"/>
      <c r="I88" s="19">
        <f t="shared" si="3"/>
        <v>0</v>
      </c>
      <c r="J88" s="1"/>
    </row>
    <row r="89" spans="1:10">
      <c r="A89" s="1"/>
      <c r="B89" s="1"/>
      <c r="C89" s="1"/>
      <c r="D89" s="1" t="str">
        <f>IF(ISERROR(VLOOKUP(C89,Cadastro!$D$3:$E$21,2,0)),"",(VLOOKUP(C89,Cadastro!$D$3:$E$21,2,0)))</f>
        <v/>
      </c>
      <c r="E89" s="1"/>
      <c r="F89" s="1"/>
      <c r="G89" s="19"/>
      <c r="H89" s="19"/>
      <c r="I89" s="19">
        <f t="shared" si="3"/>
        <v>0</v>
      </c>
      <c r="J89" s="1"/>
    </row>
    <row r="90" spans="1:10">
      <c r="A90" s="1"/>
      <c r="B90" s="1"/>
      <c r="C90" s="1"/>
      <c r="D90" s="1" t="str">
        <f>IF(ISERROR(VLOOKUP(C90,Cadastro!$D$3:$E$21,2,0)),"",(VLOOKUP(C90,Cadastro!$D$3:$E$21,2,0)))</f>
        <v/>
      </c>
      <c r="E90" s="1"/>
      <c r="F90" s="1"/>
      <c r="G90" s="19"/>
      <c r="H90" s="19"/>
      <c r="I90" s="19">
        <f t="shared" si="3"/>
        <v>0</v>
      </c>
      <c r="J90" s="1"/>
    </row>
    <row r="91" spans="1:10">
      <c r="A91" s="1"/>
      <c r="B91" s="1"/>
      <c r="C91" s="1"/>
      <c r="D91" s="1" t="str">
        <f>IF(ISERROR(VLOOKUP(C91,Cadastro!$D$3:$E$21,2,0)),"",(VLOOKUP(C91,Cadastro!$D$3:$E$21,2,0)))</f>
        <v/>
      </c>
      <c r="E91" s="1"/>
      <c r="F91" s="1"/>
      <c r="G91" s="19"/>
      <c r="H91" s="19"/>
      <c r="I91" s="19">
        <f t="shared" si="3"/>
        <v>0</v>
      </c>
      <c r="J91" s="1"/>
    </row>
    <row r="92" spans="1:10">
      <c r="A92" s="1"/>
      <c r="B92" s="1"/>
      <c r="C92" s="1"/>
      <c r="D92" s="1" t="str">
        <f>IF(ISERROR(VLOOKUP(C92,Cadastro!$D$3:$E$21,2,0)),"",(VLOOKUP(C92,Cadastro!$D$3:$E$21,2,0)))</f>
        <v/>
      </c>
      <c r="E92" s="1"/>
      <c r="F92" s="1"/>
      <c r="G92" s="19"/>
      <c r="H92" s="19"/>
      <c r="I92" s="19">
        <f t="shared" si="3"/>
        <v>0</v>
      </c>
      <c r="J92" s="1"/>
    </row>
    <row r="93" spans="1:10">
      <c r="A93" s="1"/>
      <c r="B93" s="1"/>
      <c r="C93" s="1"/>
      <c r="D93" s="1" t="str">
        <f>IF(ISERROR(VLOOKUP(C93,Cadastro!$D$3:$E$21,2,0)),"",(VLOOKUP(C93,Cadastro!$D$3:$E$21,2,0)))</f>
        <v/>
      </c>
      <c r="E93" s="1"/>
      <c r="F93" s="1"/>
      <c r="G93" s="19"/>
      <c r="H93" s="19"/>
      <c r="I93" s="19">
        <f t="shared" si="3"/>
        <v>0</v>
      </c>
      <c r="J93" s="1"/>
    </row>
    <row r="94" spans="1:10">
      <c r="A94" s="1"/>
      <c r="B94" s="1"/>
      <c r="C94" s="1"/>
      <c r="D94" s="1" t="str">
        <f>IF(ISERROR(VLOOKUP(C94,Cadastro!$D$3:$E$21,2,0)),"",(VLOOKUP(C94,Cadastro!$D$3:$E$21,2,0)))</f>
        <v/>
      </c>
      <c r="E94" s="1"/>
      <c r="F94" s="1"/>
      <c r="G94" s="19"/>
      <c r="H94" s="19"/>
      <c r="I94" s="19">
        <f t="shared" si="3"/>
        <v>0</v>
      </c>
      <c r="J94" s="1"/>
    </row>
    <row r="95" spans="1:10">
      <c r="A95" s="1"/>
      <c r="B95" s="1"/>
      <c r="C95" s="1"/>
      <c r="D95" s="1" t="str">
        <f>IF(ISERROR(VLOOKUP(C95,Cadastro!$D$3:$E$21,2,0)),"",(VLOOKUP(C95,Cadastro!$D$3:$E$21,2,0)))</f>
        <v/>
      </c>
      <c r="E95" s="1"/>
      <c r="F95" s="1"/>
      <c r="G95" s="19"/>
      <c r="H95" s="19"/>
      <c r="I95" s="19">
        <f t="shared" si="3"/>
        <v>0</v>
      </c>
      <c r="J95" s="1"/>
    </row>
    <row r="96" spans="1:10">
      <c r="A96" s="1"/>
      <c r="B96" s="1"/>
      <c r="C96" s="1"/>
      <c r="D96" s="1" t="str">
        <f>IF(ISERROR(VLOOKUP(C96,Cadastro!$D$3:$E$21,2,0)),"",(VLOOKUP(C96,Cadastro!$D$3:$E$21,2,0)))</f>
        <v/>
      </c>
      <c r="E96" s="1"/>
      <c r="F96" s="1"/>
      <c r="G96" s="19"/>
      <c r="H96" s="19"/>
      <c r="I96" s="19">
        <f t="shared" si="3"/>
        <v>0</v>
      </c>
      <c r="J96" s="1"/>
    </row>
    <row r="97" spans="1:10">
      <c r="A97" s="1"/>
      <c r="B97" s="1"/>
      <c r="C97" s="1"/>
      <c r="D97" s="1" t="str">
        <f>IF(ISERROR(VLOOKUP(C97,Cadastro!$D$3:$E$21,2,0)),"",(VLOOKUP(C97,Cadastro!$D$3:$E$21,2,0)))</f>
        <v/>
      </c>
      <c r="E97" s="1"/>
      <c r="F97" s="1"/>
      <c r="G97" s="19"/>
      <c r="H97" s="19"/>
      <c r="I97" s="19">
        <f t="shared" si="3"/>
        <v>0</v>
      </c>
      <c r="J97" s="1"/>
    </row>
    <row r="98" spans="1:10">
      <c r="A98" s="1"/>
      <c r="B98" s="1"/>
      <c r="C98" s="1"/>
      <c r="D98" s="1" t="str">
        <f>IF(ISERROR(VLOOKUP(C98,Cadastro!$D$3:$E$21,2,0)),"",(VLOOKUP(C98,Cadastro!$D$3:$E$21,2,0)))</f>
        <v/>
      </c>
      <c r="E98" s="1"/>
      <c r="F98" s="1"/>
      <c r="G98" s="19"/>
      <c r="H98" s="19"/>
      <c r="I98" s="19">
        <f t="shared" si="3"/>
        <v>0</v>
      </c>
      <c r="J98" s="1"/>
    </row>
    <row r="99" spans="1:10">
      <c r="A99" s="1"/>
      <c r="B99" s="1"/>
      <c r="C99" s="1"/>
      <c r="D99" s="1" t="str">
        <f>IF(ISERROR(VLOOKUP(C99,Cadastro!$D$3:$E$21,2,0)),"",(VLOOKUP(C99,Cadastro!$D$3:$E$21,2,0)))</f>
        <v/>
      </c>
      <c r="E99" s="1"/>
      <c r="F99" s="1"/>
      <c r="G99" s="19"/>
      <c r="H99" s="19"/>
      <c r="I99" s="19">
        <f t="shared" si="3"/>
        <v>0</v>
      </c>
      <c r="J99" s="1"/>
    </row>
    <row r="100" spans="1:10">
      <c r="A100" s="1"/>
      <c r="B100" s="1"/>
      <c r="C100" s="1"/>
      <c r="D100" s="1" t="str">
        <f>IF(ISERROR(VLOOKUP(C100,Cadastro!$D$3:$E$21,2,0)),"",(VLOOKUP(C100,Cadastro!$D$3:$E$21,2,0)))</f>
        <v/>
      </c>
      <c r="E100" s="1"/>
      <c r="F100" s="1"/>
      <c r="G100" s="19"/>
      <c r="H100" s="19"/>
      <c r="I100" s="19">
        <f t="shared" si="3"/>
        <v>0</v>
      </c>
      <c r="J100" s="1"/>
    </row>
  </sheetData>
  <mergeCells count="2">
    <mergeCell ref="A1:I1"/>
    <mergeCell ref="L1:N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79"/>
  <sheetViews>
    <sheetView workbookViewId="0"/>
  </sheetViews>
  <sheetFormatPr defaultRowHeight="14.4"/>
  <cols>
    <col min="1" max="1" width="1.44140625" customWidth="1"/>
    <col min="2" max="2" width="2.44140625" customWidth="1"/>
    <col min="3" max="3" width="11.109375" customWidth="1"/>
    <col min="4" max="4" width="13.88671875" customWidth="1"/>
    <col min="5" max="5" width="9.5546875" customWidth="1"/>
    <col min="6" max="6" width="14.33203125" style="16" customWidth="1"/>
    <col min="7" max="7" width="20.5546875" customWidth="1"/>
    <col min="8" max="8" width="20.109375" customWidth="1"/>
    <col min="9" max="9" width="13.6640625" customWidth="1"/>
    <col min="10" max="10" width="3.6640625" style="1" customWidth="1"/>
    <col min="11" max="11" width="12.109375" customWidth="1"/>
    <col min="12" max="12" width="15" style="16" customWidth="1"/>
    <col min="13" max="13" width="14.6640625" style="16" customWidth="1"/>
    <col min="14" max="14" width="16.6640625" style="16" customWidth="1"/>
    <col min="15" max="15" width="17.33203125" customWidth="1"/>
  </cols>
  <sheetData>
    <row r="1" spans="3:15" ht="21">
      <c r="C1" s="53" t="s">
        <v>19</v>
      </c>
      <c r="D1" s="53"/>
      <c r="E1" s="53"/>
      <c r="F1" s="53"/>
      <c r="G1" s="53"/>
      <c r="H1" s="53"/>
      <c r="I1" s="53"/>
      <c r="J1" s="46"/>
      <c r="K1" s="52" t="s">
        <v>25</v>
      </c>
      <c r="L1" s="52"/>
      <c r="M1" s="52"/>
      <c r="N1" s="52"/>
      <c r="O1" s="52"/>
    </row>
    <row r="2" spans="3:15">
      <c r="C2" t="s">
        <v>11</v>
      </c>
      <c r="D2" t="s">
        <v>129</v>
      </c>
      <c r="E2" t="s">
        <v>17</v>
      </c>
      <c r="F2" t="s">
        <v>8</v>
      </c>
      <c r="G2" s="16" t="s">
        <v>20</v>
      </c>
      <c r="H2" t="s">
        <v>22</v>
      </c>
      <c r="I2" t="s">
        <v>128</v>
      </c>
      <c r="J2"/>
      <c r="K2" s="14" t="s">
        <v>17</v>
      </c>
      <c r="L2" t="s">
        <v>8</v>
      </c>
      <c r="M2" s="16" t="s">
        <v>23</v>
      </c>
      <c r="N2" s="16" t="s">
        <v>24</v>
      </c>
      <c r="O2" s="16" t="s">
        <v>21</v>
      </c>
    </row>
    <row r="3" spans="3:15">
      <c r="C3" s="15">
        <v>43525</v>
      </c>
      <c r="D3" s="1">
        <v>7</v>
      </c>
      <c r="E3" s="1">
        <v>6</v>
      </c>
      <c r="F3" s="1" t="str">
        <f>IF(ISERROR(VLOOKUP(E3,Cadastro!$D$3:$E$10,2,0)),"",(VLOOKUP(E3,Cadastro!$D$3:$E$10,2,0)))</f>
        <v>Allan</v>
      </c>
      <c r="G3" s="19">
        <v>62</v>
      </c>
      <c r="H3" s="1" t="s">
        <v>30</v>
      </c>
      <c r="I3" s="1"/>
      <c r="J3"/>
      <c r="K3" s="1">
        <v>1</v>
      </c>
      <c r="L3" t="str">
        <f>IF(ISERROR(VLOOKUP(K3,Cadastro!$D$3:$E$10,2,0)),"",(VLOOKUP(K3,Cadastro!$D$3:$E$21,2,0)))</f>
        <v>Mãe</v>
      </c>
      <c r="M3" s="17">
        <f>SUMIF(Vendas!$M$3:$M$30,"Mãe",Vendas!$N$3:$N$30)</f>
        <v>785.5</v>
      </c>
      <c r="N3" s="18">
        <f ca="1">SUMIF(F3:F79,"Mãe",G3:G9)</f>
        <v>151.29</v>
      </c>
      <c r="O3" s="16">
        <f t="shared" ref="O3:O30" ca="1" si="0">M3-N3</f>
        <v>634.21</v>
      </c>
    </row>
    <row r="4" spans="3:15">
      <c r="C4" s="15">
        <v>43525</v>
      </c>
      <c r="D4" s="1">
        <v>19</v>
      </c>
      <c r="E4" s="1">
        <v>1</v>
      </c>
      <c r="F4" s="1" t="str">
        <f>IF(ISERROR(VLOOKUP(E4,Cadastro!$D$3:$E$10,2,0)),"",(VLOOKUP(E4,Cadastro!$D$3:$E$10,2,0)))</f>
        <v>Mãe</v>
      </c>
      <c r="G4" s="19">
        <v>60.98</v>
      </c>
      <c r="H4" s="1" t="s">
        <v>63</v>
      </c>
      <c r="I4" s="1"/>
      <c r="J4"/>
      <c r="K4" s="1">
        <v>2</v>
      </c>
      <c r="L4" t="str">
        <f>IF(ISERROR(VLOOKUP(K4,Cadastro!$D$3:$E$10,2,0)),"",(VLOOKUP(K4,Cadastro!$D$3:$E$21,2,0)))</f>
        <v>Paulo</v>
      </c>
      <c r="M4" s="17">
        <f>SUMIF(Vendas!$M$3:$M$30,"Paulo",Vendas!$N$3:$N$30)</f>
        <v>3362.3799999999997</v>
      </c>
      <c r="N4" s="18">
        <f>SUMIF(F3:F79,"Paulo",G3:G79)</f>
        <v>0</v>
      </c>
      <c r="O4" s="16">
        <f t="shared" si="0"/>
        <v>3362.3799999999997</v>
      </c>
    </row>
    <row r="5" spans="3:15">
      <c r="C5" s="15">
        <v>43525</v>
      </c>
      <c r="D5" s="1">
        <v>5</v>
      </c>
      <c r="E5" s="1">
        <v>3</v>
      </c>
      <c r="F5" s="1" t="str">
        <f>IF(ISERROR(VLOOKUP(E5,Cadastro!$D$3:$E$10,2,0)),"",(VLOOKUP(E5,Cadastro!$D$3:$E$10,2,0)))</f>
        <v>Irmã</v>
      </c>
      <c r="G5" s="19">
        <v>120</v>
      </c>
      <c r="H5" s="1" t="s">
        <v>30</v>
      </c>
      <c r="I5" s="1"/>
      <c r="J5"/>
      <c r="K5" s="1">
        <v>3</v>
      </c>
      <c r="L5" t="str">
        <f>IF(ISERROR(VLOOKUP(K5,Cadastro!$D$3:$E$10,2,0)),"",(VLOOKUP(K5,Cadastro!$D$3:$E$21,2,0)))</f>
        <v>Irmã</v>
      </c>
      <c r="M5" s="17">
        <f>SUMIF(Vendas!$M$3:$M$30,"Irmã",Vendas!$N$3:$N$30)</f>
        <v>722.96999999999991</v>
      </c>
      <c r="N5" s="18">
        <f ca="1">SUMIF(E5:E81,"Irmã",G5:G11)</f>
        <v>0</v>
      </c>
      <c r="O5" s="16">
        <f t="shared" ca="1" si="0"/>
        <v>722.96999999999991</v>
      </c>
    </row>
    <row r="6" spans="3:15">
      <c r="C6" s="15">
        <v>43525</v>
      </c>
      <c r="D6" s="1">
        <v>10</v>
      </c>
      <c r="E6" s="1">
        <v>6</v>
      </c>
      <c r="F6" s="1" t="str">
        <f>IF(ISERROR(VLOOKUP(E6,Cadastro!$D$3:$E$10,2,0)),"",(VLOOKUP(E6,Cadastro!$D$3:$E$10,2,0)))</f>
        <v>Allan</v>
      </c>
      <c r="G6" s="19">
        <v>33.99</v>
      </c>
      <c r="H6" s="1" t="s">
        <v>37</v>
      </c>
      <c r="I6" s="1"/>
      <c r="J6"/>
      <c r="K6" s="1">
        <v>4</v>
      </c>
      <c r="L6" t="str">
        <f>IF(ISERROR(VLOOKUP(K6,Cadastro!$D$3:$E$10,2,0)),"",(VLOOKUP(K6,Cadastro!$D$3:$E$21,2,0)))</f>
        <v>Dione</v>
      </c>
      <c r="M6" s="17">
        <f>SUMIF(Vendas!$M$3:$M$30,"Dione",Vendas!$N$3:$N$30)</f>
        <v>884</v>
      </c>
      <c r="N6" s="18">
        <f>SUMIF(F3:F79,"Dione",G3:G79)</f>
        <v>0</v>
      </c>
      <c r="O6" s="16">
        <f t="shared" si="0"/>
        <v>884</v>
      </c>
    </row>
    <row r="7" spans="3:15">
      <c r="C7" s="15">
        <v>43525</v>
      </c>
      <c r="D7" s="1">
        <v>9</v>
      </c>
      <c r="E7" s="1">
        <v>1</v>
      </c>
      <c r="F7" s="1" t="str">
        <f>IF(ISERROR(VLOOKUP(E7,Cadastro!$D$3:$E$10,2,0)),"",(VLOOKUP(E7,Cadastro!$D$3:$E$10,2,0)))</f>
        <v>Mãe</v>
      </c>
      <c r="G7" s="19">
        <v>47.81</v>
      </c>
      <c r="H7" s="1" t="s">
        <v>37</v>
      </c>
      <c r="I7" s="1"/>
      <c r="J7"/>
      <c r="K7" s="1">
        <v>5</v>
      </c>
      <c r="L7" t="str">
        <f>IF(ISERROR(VLOOKUP(K7,Cadastro!$D$3:$E$10,2,0)),"",(VLOOKUP(K7,Cadastro!$D$3:$E$21,2,0)))</f>
        <v>Patricia</v>
      </c>
      <c r="M7" s="17">
        <f>SUMIF(Vendas!$M$3:$M$30,"Patricia",Vendas!$N$3:$N$30)</f>
        <v>419.40000000000003</v>
      </c>
      <c r="N7" s="18">
        <f>SUMIF(F3:F79,"Patricia",G3:G79)</f>
        <v>0</v>
      </c>
      <c r="O7" s="16">
        <f t="shared" si="0"/>
        <v>419.40000000000003</v>
      </c>
    </row>
    <row r="8" spans="3:15">
      <c r="C8" s="15">
        <v>43525</v>
      </c>
      <c r="D8" s="1">
        <v>3</v>
      </c>
      <c r="E8" s="1">
        <v>1</v>
      </c>
      <c r="F8" s="1" t="str">
        <f>IF(ISERROR(VLOOKUP(E8,Cadastro!$D$3:$E$10,2,0)),"",(VLOOKUP(E8,Cadastro!$D$3:$E$10,2,0)))</f>
        <v>Mãe</v>
      </c>
      <c r="G8" s="19">
        <v>42.5</v>
      </c>
      <c r="H8" s="1" t="s">
        <v>30</v>
      </c>
      <c r="I8" s="1"/>
      <c r="J8"/>
      <c r="K8" s="1">
        <v>6</v>
      </c>
      <c r="L8" t="str">
        <f>IF(ISERROR(VLOOKUP(K8,Cadastro!$D$3:$E$10,2,0)),"",(VLOOKUP(K8,Cadastro!$D$3:$E$21,2,0)))</f>
        <v>Allan</v>
      </c>
      <c r="M8" s="17">
        <f>SUMIF(Vendas!$M$3:$M$30,"Allan",Vendas!$N$3:$N$30)</f>
        <v>370.14</v>
      </c>
      <c r="N8" s="18">
        <f>SUMIF(F3:F79,"Allan",G3:G79)</f>
        <v>163.14000000000001</v>
      </c>
      <c r="O8" s="16">
        <f t="shared" si="0"/>
        <v>206.99999999999997</v>
      </c>
    </row>
    <row r="9" spans="3:15">
      <c r="C9" s="15">
        <v>43525</v>
      </c>
      <c r="D9" s="1">
        <v>22</v>
      </c>
      <c r="E9" s="1">
        <v>6</v>
      </c>
      <c r="F9" s="1" t="str">
        <f>IF(ISERROR(VLOOKUP(E9,Cadastro!$D$3:$E$10,2,0)),"",(VLOOKUP(E9,Cadastro!$D$3:$E$10,2,0)))</f>
        <v>Allan</v>
      </c>
      <c r="G9" s="19">
        <v>48.65</v>
      </c>
      <c r="H9" s="1" t="s">
        <v>49</v>
      </c>
      <c r="I9" s="1"/>
      <c r="J9"/>
      <c r="K9" s="1">
        <v>7</v>
      </c>
      <c r="L9" t="str">
        <f>IF(ISERROR(VLOOKUP(K9,Cadastro!$D$3:$E$10,2,0)),"",(VLOOKUP(K9,Cadastro!$D$3:$E$21,2,0)))</f>
        <v>Fernandinho</v>
      </c>
      <c r="M9" s="17">
        <f>SUMIF(Vendas!$M$3:$M$30,"Fernandinho",Vendas!$N$3:$N$30)</f>
        <v>2163.2399999999998</v>
      </c>
      <c r="N9" s="18">
        <f>SUMIF(F3:F79,"Fernandinho",G3:G79)</f>
        <v>220</v>
      </c>
      <c r="O9" s="16">
        <f t="shared" si="0"/>
        <v>1943.2399999999998</v>
      </c>
    </row>
    <row r="10" spans="3:15">
      <c r="C10" s="15">
        <v>43525</v>
      </c>
      <c r="D10" s="1">
        <v>21</v>
      </c>
      <c r="E10" s="1">
        <v>6</v>
      </c>
      <c r="F10" s="1" t="str">
        <f>IF(ISERROR(VLOOKUP(E10,Cadastro!$D$3:$E$10,2,0)),"",(VLOOKUP(E10,Cadastro!$D$3:$E$10,2,0)))</f>
        <v>Allan</v>
      </c>
      <c r="G10" s="19">
        <v>6</v>
      </c>
      <c r="H10" s="1" t="s">
        <v>49</v>
      </c>
      <c r="I10" s="1"/>
      <c r="J10"/>
      <c r="K10" s="1">
        <v>8</v>
      </c>
      <c r="L10" t="str">
        <f>IF(ISERROR(VLOOKUP(K10,Cadastro!$D$3:$E$10,2,0)),"",(VLOOKUP(K10,Cadastro!$D$3:$E$21,2,0)))</f>
        <v>Iva</v>
      </c>
      <c r="M10" s="17">
        <f>SUMIF(Vendas!$M$3:$M$30,"Iva",Vendas!$N$3:$N$30)</f>
        <v>125.68</v>
      </c>
      <c r="N10" s="18">
        <f>SUMIF(E3:E80,"Iva",F3:F80)</f>
        <v>0</v>
      </c>
      <c r="O10" s="16">
        <f t="shared" si="0"/>
        <v>125.68</v>
      </c>
    </row>
    <row r="11" spans="3:15">
      <c r="C11" s="15">
        <v>43537</v>
      </c>
      <c r="D11" s="1">
        <v>24</v>
      </c>
      <c r="E11" s="1">
        <v>6</v>
      </c>
      <c r="F11" s="1" t="str">
        <f>IF(ISERROR(VLOOKUP(E11,Cadastro!$D$3:$E$10,2,0)),"",(VLOOKUP(E11,Cadastro!$D$3:$E$10,2,0)))</f>
        <v>Allan</v>
      </c>
      <c r="G11" s="19">
        <v>12.5</v>
      </c>
      <c r="H11" s="1" t="s">
        <v>37</v>
      </c>
      <c r="I11" s="1"/>
      <c r="J11"/>
      <c r="K11" s="1"/>
      <c r="L11" t="str">
        <f>IF(ISERROR(VLOOKUP(K11,Cadastro!$D$3:$E$10,2,0)),"",(VLOOKUP(K11,Cadastro!$D$3:$E$21,2,0)))</f>
        <v/>
      </c>
      <c r="M11" s="17"/>
      <c r="N11" s="18"/>
      <c r="O11" s="16">
        <f t="shared" si="0"/>
        <v>0</v>
      </c>
    </row>
    <row r="12" spans="3:15">
      <c r="C12" s="15">
        <v>43539</v>
      </c>
      <c r="D12" s="1">
        <v>8</v>
      </c>
      <c r="E12" s="1">
        <v>7</v>
      </c>
      <c r="F12" s="1" t="str">
        <f>IF(ISERROR(VLOOKUP(E12,Cadastro!$D$3:$E$10,2,0)),"",(VLOOKUP(E12,Cadastro!$D$3:$E$10,2,0)))</f>
        <v>Fernandinho</v>
      </c>
      <c r="G12" s="19">
        <v>220</v>
      </c>
      <c r="H12" s="1" t="s">
        <v>37</v>
      </c>
      <c r="I12" s="1"/>
      <c r="J12"/>
      <c r="K12" s="1"/>
      <c r="L12" t="str">
        <f>IF(ISERROR(VLOOKUP(K12,Cadastro!$D$3:$E$10,2,0)),"",(VLOOKUP(K12,Cadastro!$D$3:$E$21,2,0)))</f>
        <v/>
      </c>
      <c r="M12" s="17"/>
      <c r="N12" s="18"/>
      <c r="O12" s="16">
        <f t="shared" si="0"/>
        <v>0</v>
      </c>
    </row>
    <row r="13" spans="3:15">
      <c r="C13" s="15"/>
      <c r="D13" s="1"/>
      <c r="E13" s="1"/>
      <c r="F13" s="1" t="str">
        <f>IF(ISERROR(VLOOKUP(E13,Cadastro!$D$3:$E$10,2,0)),"",(VLOOKUP(E13,Cadastro!$D$3:$E$10,2,0)))</f>
        <v/>
      </c>
      <c r="G13" s="19"/>
      <c r="H13" s="1"/>
      <c r="I13" s="1"/>
      <c r="J13"/>
      <c r="K13" s="1"/>
      <c r="L13" t="str">
        <f>IF(ISERROR(VLOOKUP(K13,Cadastro!$D$3:$E$10,2,0)),"",(VLOOKUP(K13,Cadastro!$D$3:$E$21,2,0)))</f>
        <v/>
      </c>
      <c r="M13" s="17"/>
      <c r="N13" s="18"/>
      <c r="O13" s="16">
        <f t="shared" si="0"/>
        <v>0</v>
      </c>
    </row>
    <row r="14" spans="3:15">
      <c r="C14" s="15"/>
      <c r="D14" s="1"/>
      <c r="E14" s="1"/>
      <c r="F14" s="1" t="str">
        <f>IF(ISERROR(VLOOKUP(E14,Cadastro!$D$3:$E$10,2,0)),"",(VLOOKUP(E14,Cadastro!$D$3:$E$10,2,0)))</f>
        <v/>
      </c>
      <c r="G14" s="19"/>
      <c r="H14" s="1"/>
      <c r="I14" s="1"/>
      <c r="J14"/>
      <c r="K14" s="1"/>
      <c r="L14" t="str">
        <f>IF(ISERROR(VLOOKUP(K14,Cadastro!$D$3:$E$10,2,0)),"",(VLOOKUP(K14,Cadastro!$D$3:$E$21,2,0)))</f>
        <v/>
      </c>
      <c r="M14" s="17"/>
      <c r="N14" s="18"/>
      <c r="O14" s="16">
        <f t="shared" si="0"/>
        <v>0</v>
      </c>
    </row>
    <row r="15" spans="3:15">
      <c r="C15" s="15"/>
      <c r="D15" s="1"/>
      <c r="E15" s="1"/>
      <c r="F15" s="1" t="str">
        <f>IF(ISERROR(VLOOKUP(E15,Cadastro!$D$3:$E$10,2,0)),"",(VLOOKUP(E15,Cadastro!$D$3:$E$10,2,0)))</f>
        <v/>
      </c>
      <c r="G15" s="19"/>
      <c r="H15" s="1"/>
      <c r="I15" s="1"/>
      <c r="J15"/>
      <c r="K15" s="1"/>
      <c r="L15" t="str">
        <f>IF(ISERROR(VLOOKUP(K15,Cadastro!$D$3:$E$10,2,0)),"",(VLOOKUP(K15,Cadastro!$D$3:$E$21,2,0)))</f>
        <v/>
      </c>
      <c r="M15" s="17"/>
      <c r="N15" s="18"/>
      <c r="O15" s="16">
        <f t="shared" si="0"/>
        <v>0</v>
      </c>
    </row>
    <row r="16" spans="3:15">
      <c r="C16" s="1"/>
      <c r="D16" s="1"/>
      <c r="E16" s="1"/>
      <c r="F16" s="1" t="str">
        <f>IF(ISERROR(VLOOKUP(E16,Cadastro!$D$3:$E$10,2,0)),"",(VLOOKUP(E16,Cadastro!$D$3:$E$10,2,0)))</f>
        <v/>
      </c>
      <c r="G16" s="19"/>
      <c r="H16" s="1"/>
      <c r="I16" s="1"/>
      <c r="J16"/>
      <c r="K16" s="1"/>
      <c r="L16" t="str">
        <f>IF(ISERROR(VLOOKUP(K16,Cadastro!$D$3:$E$10,2,0)),"",(VLOOKUP(K16,Cadastro!$D$3:$E$21,2,0)))</f>
        <v/>
      </c>
      <c r="M16" s="17"/>
      <c r="N16" s="18"/>
      <c r="O16" s="16">
        <f t="shared" si="0"/>
        <v>0</v>
      </c>
    </row>
    <row r="17" spans="3:15">
      <c r="C17" s="1"/>
      <c r="D17" s="1"/>
      <c r="E17" s="1"/>
      <c r="F17" s="1" t="str">
        <f>IF(ISERROR(VLOOKUP(E17,Cadastro!$D$3:$E$10,2,0)),"",(VLOOKUP(E17,Cadastro!$D$3:$E$10,2,0)))</f>
        <v/>
      </c>
      <c r="G17" s="19"/>
      <c r="H17" s="1"/>
      <c r="I17" s="1"/>
      <c r="J17"/>
      <c r="K17" s="1"/>
      <c r="L17" t="str">
        <f>IF(ISERROR(VLOOKUP(K17,Cadastro!$D$3:$E$10,2,0)),"",(VLOOKUP(K17,Cadastro!$D$3:$E$21,2,0)))</f>
        <v/>
      </c>
      <c r="M17" s="17"/>
      <c r="N17" s="18"/>
      <c r="O17" s="16">
        <f t="shared" si="0"/>
        <v>0</v>
      </c>
    </row>
    <row r="18" spans="3:15">
      <c r="C18" s="1"/>
      <c r="D18" s="1"/>
      <c r="E18" s="1"/>
      <c r="F18" s="1" t="str">
        <f>IF(ISERROR(VLOOKUP(E18,Cadastro!$D$3:$E$10,2,0)),"",(VLOOKUP(E18,Cadastro!$D$3:$E$10,2,0)))</f>
        <v/>
      </c>
      <c r="G18" s="19"/>
      <c r="H18" s="1"/>
      <c r="I18" s="1"/>
      <c r="J18"/>
      <c r="K18" s="1"/>
      <c r="L18" t="str">
        <f>IF(ISERROR(VLOOKUP(K18,Cadastro!$D$3:$E$10,2,0)),"",(VLOOKUP(K18,Cadastro!$D$3:$E$21,2,0)))</f>
        <v/>
      </c>
      <c r="M18" s="17"/>
      <c r="N18" s="18"/>
      <c r="O18" s="16">
        <f t="shared" si="0"/>
        <v>0</v>
      </c>
    </row>
    <row r="19" spans="3:15">
      <c r="C19" s="1"/>
      <c r="D19" s="1"/>
      <c r="E19" s="1"/>
      <c r="F19" s="1" t="str">
        <f>IF(ISERROR(VLOOKUP(E19,Cadastro!$D$3:$E$10,2,0)),"",(VLOOKUP(E19,Cadastro!$D$3:$E$10,2,0)))</f>
        <v/>
      </c>
      <c r="G19" s="19"/>
      <c r="H19" s="1"/>
      <c r="I19" s="1"/>
      <c r="J19"/>
      <c r="K19" s="1"/>
      <c r="L19" t="str">
        <f>IF(ISERROR(VLOOKUP(K19,Cadastro!$D$3:$E$10,2,0)),"",(VLOOKUP(K19,Cadastro!$D$3:$E$21,2,0)))</f>
        <v/>
      </c>
      <c r="M19" s="17"/>
      <c r="N19" s="18"/>
      <c r="O19" s="16">
        <f t="shared" si="0"/>
        <v>0</v>
      </c>
    </row>
    <row r="20" spans="3:15">
      <c r="C20" s="1"/>
      <c r="D20" s="1"/>
      <c r="E20" s="1"/>
      <c r="F20" s="1" t="str">
        <f>IF(ISERROR(VLOOKUP(E20,Cadastro!$D$3:$E$10,2,0)),"",(VLOOKUP(E20,Cadastro!$D$3:$E$10,2,0)))</f>
        <v/>
      </c>
      <c r="G20" s="19"/>
      <c r="H20" s="1"/>
      <c r="I20" s="1"/>
      <c r="J20"/>
      <c r="K20" s="1"/>
      <c r="L20" t="str">
        <f>IF(ISERROR(VLOOKUP(K20,Cadastro!$D$3:$E$10,2,0)),"",(VLOOKUP(K20,Cadastro!$D$3:$E$21,2,0)))</f>
        <v/>
      </c>
      <c r="M20" s="17"/>
      <c r="N20" s="18"/>
      <c r="O20" s="16">
        <f t="shared" si="0"/>
        <v>0</v>
      </c>
    </row>
    <row r="21" spans="3:15">
      <c r="C21" s="1"/>
      <c r="D21" s="1"/>
      <c r="E21" s="1"/>
      <c r="F21" s="1" t="str">
        <f>IF(ISERROR(VLOOKUP(E21,Cadastro!$D$3:$E$10,2,0)),"",(VLOOKUP(E21,Cadastro!$D$3:$E$10,2,0)))</f>
        <v/>
      </c>
      <c r="G21" s="19"/>
      <c r="H21" s="1"/>
      <c r="I21" s="1"/>
      <c r="J21"/>
      <c r="K21" s="1"/>
      <c r="L21" t="str">
        <f>IF(ISERROR(VLOOKUP(K21,Cadastro!$D$3:$E$10,2,0)),"",(VLOOKUP(K21,Cadastro!$D$3:$E$21,2,0)))</f>
        <v/>
      </c>
      <c r="M21" s="17"/>
      <c r="N21" s="18"/>
      <c r="O21" s="16">
        <f t="shared" si="0"/>
        <v>0</v>
      </c>
    </row>
    <row r="22" spans="3:15">
      <c r="C22" s="1"/>
      <c r="D22" s="1"/>
      <c r="E22" s="1"/>
      <c r="F22" s="1" t="str">
        <f>IF(ISERROR(VLOOKUP(E22,Cadastro!$D$3:$E$10,2,0)),"",(VLOOKUP(E22,Cadastro!$D$3:$E$10,2,0)))</f>
        <v/>
      </c>
      <c r="G22" s="19"/>
      <c r="H22" s="1"/>
      <c r="I22" s="1"/>
      <c r="J22"/>
      <c r="K22" s="1"/>
      <c r="L22" t="str">
        <f>IF(ISERROR(VLOOKUP(K22,Cadastro!$D$3:$E$10,2,0)),"",(VLOOKUP(K22,Cadastro!$D$3:$E$21,2,0)))</f>
        <v/>
      </c>
      <c r="M22" s="17"/>
      <c r="N22" s="18"/>
      <c r="O22" s="16">
        <f t="shared" si="0"/>
        <v>0</v>
      </c>
    </row>
    <row r="23" spans="3:15">
      <c r="C23" s="1"/>
      <c r="D23" s="1"/>
      <c r="E23" s="1"/>
      <c r="F23" s="1" t="str">
        <f>IF(ISERROR(VLOOKUP(E23,Cadastro!$D$3:$E$10,2,0)),"",(VLOOKUP(E23,Cadastro!$D$3:$E$10,2,0)))</f>
        <v/>
      </c>
      <c r="G23" s="19"/>
      <c r="H23" s="1"/>
      <c r="I23" s="1"/>
      <c r="J23"/>
      <c r="K23" s="1"/>
      <c r="L23" t="str">
        <f>IF(ISERROR(VLOOKUP(K23,Cadastro!$D$3:$E$10,2,0)),"",(VLOOKUP(K23,Cadastro!$D$3:$E$21,2,0)))</f>
        <v/>
      </c>
      <c r="M23" s="17"/>
      <c r="N23" s="18"/>
      <c r="O23" s="16">
        <f t="shared" si="0"/>
        <v>0</v>
      </c>
    </row>
    <row r="24" spans="3:15">
      <c r="C24" s="1"/>
      <c r="D24" s="1"/>
      <c r="E24" s="1"/>
      <c r="F24" s="1" t="str">
        <f>IF(ISERROR(VLOOKUP(E24,Cadastro!$D$3:$E$10,2,0)),"",(VLOOKUP(E24,Cadastro!$D$3:$E$10,2,0)))</f>
        <v/>
      </c>
      <c r="G24" s="19"/>
      <c r="H24" s="1"/>
      <c r="I24" s="1"/>
      <c r="J24"/>
      <c r="K24" s="1"/>
      <c r="L24" t="str">
        <f>IF(ISERROR(VLOOKUP(K24,Cadastro!$D$3:$E$10,2,0)),"",(VLOOKUP(K24,Cadastro!$D$3:$E$21,2,0)))</f>
        <v/>
      </c>
      <c r="M24" s="17"/>
      <c r="N24" s="18"/>
      <c r="O24" s="16">
        <f t="shared" si="0"/>
        <v>0</v>
      </c>
    </row>
    <row r="25" spans="3:15">
      <c r="C25" s="1"/>
      <c r="D25" s="1"/>
      <c r="E25" s="1"/>
      <c r="F25" s="1" t="str">
        <f>IF(ISERROR(VLOOKUP(E25,Cadastro!$D$3:$E$10,2,0)),"",(VLOOKUP(E25,Cadastro!$D$3:$E$10,2,0)))</f>
        <v/>
      </c>
      <c r="G25" s="19"/>
      <c r="H25" s="1"/>
      <c r="I25" s="1"/>
      <c r="J25"/>
      <c r="K25" s="1"/>
      <c r="L25" t="str">
        <f>IF(ISERROR(VLOOKUP(K25,Cadastro!$D$3:$E$10,2,0)),"",(VLOOKUP(K25,Cadastro!$D$3:$E$21,2,0)))</f>
        <v/>
      </c>
      <c r="M25" s="17"/>
      <c r="N25" s="18"/>
      <c r="O25" s="16">
        <f t="shared" si="0"/>
        <v>0</v>
      </c>
    </row>
    <row r="26" spans="3:15">
      <c r="C26" s="1"/>
      <c r="D26" s="1"/>
      <c r="E26" s="1"/>
      <c r="F26" s="1" t="str">
        <f>IF(ISERROR(VLOOKUP(E26,Cadastro!$D$3:$E$10,2,0)),"",(VLOOKUP(E26,Cadastro!$D$3:$E$10,2,0)))</f>
        <v/>
      </c>
      <c r="G26" s="19"/>
      <c r="H26" s="1"/>
      <c r="I26" s="1"/>
      <c r="J26"/>
      <c r="K26" s="1"/>
      <c r="L26" t="str">
        <f>IF(ISERROR(VLOOKUP(K26,Cadastro!$D$3:$E$10,2,0)),"",(VLOOKUP(K26,Cadastro!$D$3:$E$21,2,0)))</f>
        <v/>
      </c>
      <c r="M26" s="17"/>
      <c r="N26" s="18"/>
      <c r="O26" s="16">
        <f t="shared" si="0"/>
        <v>0</v>
      </c>
    </row>
    <row r="27" spans="3:15">
      <c r="C27" s="1"/>
      <c r="D27" s="1"/>
      <c r="E27" s="1"/>
      <c r="F27" s="1" t="str">
        <f>IF(ISERROR(VLOOKUP(E27,Cadastro!$D$3:$E$10,2,0)),"",(VLOOKUP(E27,Cadastro!$D$3:$E$10,2,0)))</f>
        <v/>
      </c>
      <c r="G27" s="19"/>
      <c r="H27" s="1"/>
      <c r="I27" s="1"/>
      <c r="J27"/>
      <c r="K27" s="1"/>
      <c r="L27" t="str">
        <f>IF(ISERROR(VLOOKUP(K27,Cadastro!$D$3:$E$10,2,0)),"",(VLOOKUP(K27,Cadastro!$D$3:$E$21,2,0)))</f>
        <v/>
      </c>
      <c r="M27" s="17"/>
      <c r="N27" s="18"/>
      <c r="O27" s="16">
        <f t="shared" si="0"/>
        <v>0</v>
      </c>
    </row>
    <row r="28" spans="3:15">
      <c r="C28" s="1"/>
      <c r="D28" s="1"/>
      <c r="E28" s="1"/>
      <c r="F28" s="1" t="str">
        <f>IF(ISERROR(VLOOKUP(E28,Cadastro!$D$3:$E$10,2,0)),"",(VLOOKUP(E28,Cadastro!$D$3:$E$10,2,0)))</f>
        <v/>
      </c>
      <c r="G28" s="19"/>
      <c r="H28" s="1"/>
      <c r="I28" s="1"/>
      <c r="J28"/>
      <c r="K28" s="1"/>
      <c r="L28" t="str">
        <f>IF(ISERROR(VLOOKUP(K28,Cadastro!$D$3:$E$10,2,0)),"",(VLOOKUP(K28,Cadastro!$D$3:$E$21,2,0)))</f>
        <v/>
      </c>
      <c r="M28" s="17"/>
      <c r="N28" s="18"/>
      <c r="O28" s="16">
        <f t="shared" si="0"/>
        <v>0</v>
      </c>
    </row>
    <row r="29" spans="3:15">
      <c r="C29" s="1"/>
      <c r="D29" s="1"/>
      <c r="E29" s="1"/>
      <c r="F29" s="1" t="str">
        <f>IF(ISERROR(VLOOKUP(E29,Cadastro!$D$3:$E$10,2,0)),"",(VLOOKUP(E29,Cadastro!$D$3:$E$10,2,0)))</f>
        <v/>
      </c>
      <c r="G29" s="19"/>
      <c r="H29" s="1"/>
      <c r="I29" s="1"/>
      <c r="J29"/>
      <c r="K29" s="1"/>
      <c r="L29" t="str">
        <f>IF(ISERROR(VLOOKUP(K29,Cadastro!$D$3:$E$10,2,0)),"",(VLOOKUP(K29,Cadastro!$D$3:$E$21,2,0)))</f>
        <v/>
      </c>
      <c r="M29" s="17"/>
      <c r="N29" s="18"/>
      <c r="O29" s="16">
        <f t="shared" si="0"/>
        <v>0</v>
      </c>
    </row>
    <row r="30" spans="3:15">
      <c r="C30" s="1"/>
      <c r="D30" s="1"/>
      <c r="E30" s="1"/>
      <c r="F30" s="1" t="str">
        <f>IF(ISERROR(VLOOKUP(E30,Cadastro!$D$3:$E$10,2,0)),"",(VLOOKUP(E30,Cadastro!$D$3:$E$10,2,0)))</f>
        <v/>
      </c>
      <c r="G30" s="19"/>
      <c r="H30" s="1"/>
      <c r="I30" s="1"/>
      <c r="J30"/>
      <c r="K30" s="1"/>
      <c r="L30" t="str">
        <f>IF(ISERROR(VLOOKUP(K30,Cadastro!$D$3:$E$10,2,0)),"",(VLOOKUP(K30,Cadastro!$D$3:$E$21,2,0)))</f>
        <v/>
      </c>
      <c r="M30" s="17"/>
      <c r="N30" s="18"/>
      <c r="O30" s="16">
        <f t="shared" si="0"/>
        <v>0</v>
      </c>
    </row>
    <row r="31" spans="3:15">
      <c r="C31" s="1"/>
      <c r="D31" s="1"/>
      <c r="E31" s="1"/>
      <c r="F31" s="1" t="str">
        <f>IF(ISERROR(VLOOKUP(E31,Cadastro!$D$3:$E$10,2,0)),"",(VLOOKUP(E31,Cadastro!$D$3:$E$10,2,0)))</f>
        <v/>
      </c>
      <c r="G31" s="19"/>
      <c r="H31" s="1"/>
      <c r="I31" s="1"/>
      <c r="J31"/>
      <c r="K31" s="1"/>
      <c r="L31"/>
      <c r="O31" s="16"/>
    </row>
    <row r="32" spans="3:15">
      <c r="C32" s="1"/>
      <c r="D32" s="1"/>
      <c r="E32" s="1"/>
      <c r="F32" s="1" t="str">
        <f>IF(ISERROR(VLOOKUP(E32,Cadastro!$D$3:$E$10,2,0)),"",(VLOOKUP(E32,Cadastro!$D$3:$E$10,2,0)))</f>
        <v/>
      </c>
      <c r="G32" s="19"/>
      <c r="H32" s="1"/>
      <c r="I32" s="1"/>
      <c r="J32"/>
      <c r="K32" s="1"/>
      <c r="L32"/>
      <c r="O32" s="16"/>
    </row>
    <row r="33" spans="3:15">
      <c r="C33" s="1"/>
      <c r="D33" s="1"/>
      <c r="E33" s="1"/>
      <c r="F33" s="1" t="str">
        <f>IF(ISERROR(VLOOKUP(E33,Cadastro!$D$3:$E$10,2,0)),"",(VLOOKUP(E33,Cadastro!$D$3:$E$10,2,0)))</f>
        <v/>
      </c>
      <c r="G33" s="19"/>
      <c r="H33" s="1"/>
      <c r="I33" s="1"/>
      <c r="J33"/>
      <c r="K33" s="1"/>
      <c r="L33"/>
      <c r="O33" s="16"/>
    </row>
    <row r="34" spans="3:15">
      <c r="C34" s="1"/>
      <c r="D34" s="1"/>
      <c r="E34" s="1"/>
      <c r="F34" s="1" t="str">
        <f>IF(ISERROR(VLOOKUP(E34,Cadastro!$D$3:$E$10,2,0)),"",(VLOOKUP(E34,Cadastro!$D$3:$E$10,2,0)))</f>
        <v/>
      </c>
      <c r="G34" s="19"/>
      <c r="H34" s="1"/>
      <c r="I34" s="1"/>
      <c r="J34"/>
      <c r="K34" s="1"/>
      <c r="L34"/>
      <c r="O34" s="16"/>
    </row>
    <row r="35" spans="3:15">
      <c r="C35" s="1"/>
      <c r="D35" s="1"/>
      <c r="E35" s="1"/>
      <c r="F35" s="1" t="str">
        <f>IF(ISERROR(VLOOKUP(E35,Cadastro!$D$3:$E$10,2,0)),"",(VLOOKUP(E35,Cadastro!$D$3:$E$10,2,0)))</f>
        <v/>
      </c>
      <c r="G35" s="19"/>
      <c r="H35" s="1"/>
      <c r="I35" s="1"/>
      <c r="J35"/>
      <c r="K35" s="1"/>
      <c r="L35"/>
      <c r="O35" s="16"/>
    </row>
    <row r="36" spans="3:15">
      <c r="C36" s="1"/>
      <c r="D36" s="1"/>
      <c r="E36" s="1"/>
      <c r="F36" s="1" t="str">
        <f>IF(ISERROR(VLOOKUP(E36,Cadastro!$D$3:$E$10,2,0)),"",(VLOOKUP(E36,Cadastro!$D$3:$E$10,2,0)))</f>
        <v/>
      </c>
      <c r="G36" s="19"/>
      <c r="H36" s="1"/>
      <c r="I36" s="1"/>
      <c r="J36"/>
      <c r="K36" s="1"/>
      <c r="L36"/>
      <c r="O36" s="16"/>
    </row>
    <row r="37" spans="3:15">
      <c r="C37" s="1"/>
      <c r="D37" s="1"/>
      <c r="E37" s="1"/>
      <c r="F37" s="1" t="str">
        <f>IF(ISERROR(VLOOKUP(E37,Cadastro!$D$3:$E$10,2,0)),"",(VLOOKUP(E37,Cadastro!$D$3:$E$10,2,0)))</f>
        <v/>
      </c>
      <c r="G37" s="19"/>
      <c r="H37" s="1"/>
      <c r="I37" s="1"/>
      <c r="J37"/>
      <c r="K37" s="1"/>
      <c r="L37"/>
      <c r="O37" s="16"/>
    </row>
    <row r="38" spans="3:15">
      <c r="C38" s="1"/>
      <c r="D38" s="1"/>
      <c r="E38" s="1"/>
      <c r="F38" s="1" t="str">
        <f>IF(ISERROR(VLOOKUP(E38,Cadastro!$D$3:$E$10,2,0)),"",(VLOOKUP(E38,Cadastro!$D$3:$E$10,2,0)))</f>
        <v/>
      </c>
      <c r="G38" s="19"/>
      <c r="H38" s="1"/>
      <c r="I38" s="1"/>
      <c r="J38"/>
      <c r="K38" s="1"/>
      <c r="L38"/>
      <c r="O38" s="16"/>
    </row>
    <row r="39" spans="3:15">
      <c r="C39" s="1"/>
      <c r="D39" s="1"/>
      <c r="E39" s="1"/>
      <c r="F39" s="1" t="str">
        <f>IF(ISERROR(VLOOKUP(E39,Cadastro!$D$3:$E$10,2,0)),"",(VLOOKUP(E39,Cadastro!$D$3:$E$10,2,0)))</f>
        <v/>
      </c>
      <c r="G39" s="19"/>
      <c r="H39" s="1"/>
      <c r="I39" s="1"/>
      <c r="J39"/>
      <c r="K39" s="1"/>
      <c r="L39"/>
      <c r="O39" s="16"/>
    </row>
    <row r="40" spans="3:15">
      <c r="C40" s="1"/>
      <c r="D40" s="1"/>
      <c r="E40" s="1"/>
      <c r="F40" s="1" t="str">
        <f>IF(ISERROR(VLOOKUP(E40,Cadastro!$D$3:$E$10,2,0)),"",(VLOOKUP(E40,Cadastro!$D$3:$E$10,2,0)))</f>
        <v/>
      </c>
      <c r="G40" s="19"/>
      <c r="H40" s="1"/>
      <c r="I40" s="1"/>
      <c r="J40"/>
      <c r="K40" s="1"/>
      <c r="L40"/>
      <c r="O40" s="16"/>
    </row>
    <row r="41" spans="3:15">
      <c r="C41" s="1"/>
      <c r="D41" s="1"/>
      <c r="E41" s="1"/>
      <c r="F41" s="1" t="str">
        <f>IF(ISERROR(VLOOKUP(E41,Cadastro!$D$3:$E$10,2,0)),"",(VLOOKUP(E41,Cadastro!$D$3:$E$10,2,0)))</f>
        <v/>
      </c>
      <c r="G41" s="19"/>
      <c r="H41" s="1"/>
      <c r="I41" s="1"/>
      <c r="J41"/>
      <c r="K41" s="1"/>
      <c r="L41"/>
      <c r="O41" s="16"/>
    </row>
    <row r="42" spans="3:15">
      <c r="C42" s="1"/>
      <c r="D42" s="1"/>
      <c r="E42" s="1"/>
      <c r="F42" s="1" t="str">
        <f>IF(ISERROR(VLOOKUP(E42,Cadastro!$D$3:$E$10,2,0)),"",(VLOOKUP(E42,Cadastro!$D$3:$E$10,2,0)))</f>
        <v/>
      </c>
      <c r="G42" s="19"/>
      <c r="H42" s="1"/>
      <c r="I42" s="1"/>
      <c r="J42"/>
      <c r="K42" s="1"/>
      <c r="L42"/>
      <c r="O42" s="16"/>
    </row>
    <row r="43" spans="3:15">
      <c r="C43" s="1"/>
      <c r="D43" s="1"/>
      <c r="E43" s="1"/>
      <c r="F43" s="1" t="str">
        <f>IF(ISERROR(VLOOKUP(E43,Cadastro!$D$3:$E$10,2,0)),"",(VLOOKUP(E43,Cadastro!$D$3:$E$10,2,0)))</f>
        <v/>
      </c>
      <c r="G43" s="19"/>
      <c r="H43" s="1"/>
      <c r="I43" s="1"/>
      <c r="J43"/>
      <c r="K43" s="1"/>
      <c r="L43"/>
      <c r="O43" s="16"/>
    </row>
    <row r="44" spans="3:15">
      <c r="C44" s="1"/>
      <c r="D44" s="1"/>
      <c r="E44" s="1"/>
      <c r="F44" s="1" t="str">
        <f>IF(ISERROR(VLOOKUP(E44,Cadastro!$D$3:$E$10,2,0)),"",(VLOOKUP(E44,Cadastro!$D$3:$E$10,2,0)))</f>
        <v/>
      </c>
      <c r="G44" s="19"/>
      <c r="H44" s="1"/>
      <c r="I44" s="1"/>
      <c r="J44"/>
      <c r="K44" s="1"/>
      <c r="L44"/>
      <c r="O44" s="16"/>
    </row>
    <row r="45" spans="3:15">
      <c r="C45" s="1"/>
      <c r="D45" s="1"/>
      <c r="E45" s="1"/>
      <c r="F45" s="1" t="str">
        <f>IF(ISERROR(VLOOKUP(E45,Cadastro!$D$3:$E$10,2,0)),"",(VLOOKUP(E45,Cadastro!$D$3:$E$10,2,0)))</f>
        <v/>
      </c>
      <c r="G45" s="19"/>
      <c r="H45" s="1"/>
      <c r="I45" s="1"/>
      <c r="J45"/>
      <c r="K45" s="1"/>
      <c r="L45"/>
      <c r="O45" s="16"/>
    </row>
    <row r="46" spans="3:15">
      <c r="C46" s="1"/>
      <c r="D46" s="1"/>
      <c r="E46" s="1"/>
      <c r="F46" s="1" t="str">
        <f>IF(ISERROR(VLOOKUP(E46,Cadastro!$D$3:$E$10,2,0)),"",(VLOOKUP(E46,Cadastro!$D$3:$E$10,2,0)))</f>
        <v/>
      </c>
      <c r="G46" s="19"/>
      <c r="H46" s="1"/>
      <c r="I46" s="1"/>
      <c r="J46"/>
      <c r="K46" s="1"/>
      <c r="L46"/>
      <c r="O46" s="16"/>
    </row>
    <row r="47" spans="3:15">
      <c r="C47" s="1"/>
      <c r="D47" s="1"/>
      <c r="E47" s="1"/>
      <c r="F47" s="1" t="str">
        <f>IF(ISERROR(VLOOKUP(E47,Cadastro!$D$3:$E$10,2,0)),"",(VLOOKUP(E47,Cadastro!$D$3:$E$10,2,0)))</f>
        <v/>
      </c>
      <c r="G47" s="19"/>
      <c r="H47" s="1"/>
      <c r="I47" s="1"/>
      <c r="J47"/>
      <c r="K47" s="1"/>
      <c r="L47"/>
      <c r="O47" s="16"/>
    </row>
    <row r="48" spans="3:15">
      <c r="C48" s="1"/>
      <c r="D48" s="1"/>
      <c r="E48" s="1"/>
      <c r="F48" s="1" t="str">
        <f>IF(ISERROR(VLOOKUP(E48,Cadastro!$D$3:$E$10,2,0)),"",(VLOOKUP(E48,Cadastro!$D$3:$E$10,2,0)))</f>
        <v/>
      </c>
      <c r="G48" s="19"/>
      <c r="H48" s="1"/>
      <c r="I48" s="1"/>
      <c r="J48"/>
      <c r="K48" s="1"/>
      <c r="L48"/>
      <c r="O48" s="16"/>
    </row>
    <row r="49" spans="3:15">
      <c r="C49" s="1"/>
      <c r="D49" s="1"/>
      <c r="E49" s="1"/>
      <c r="F49" s="1" t="str">
        <f>IF(ISERROR(VLOOKUP(E49,Cadastro!$D$3:$E$10,2,0)),"",(VLOOKUP(E49,Cadastro!$D$3:$E$10,2,0)))</f>
        <v/>
      </c>
      <c r="G49" s="19"/>
      <c r="H49" s="1"/>
      <c r="I49" s="1"/>
      <c r="J49"/>
      <c r="K49" s="1"/>
      <c r="L49"/>
      <c r="O49" s="16"/>
    </row>
    <row r="50" spans="3:15">
      <c r="C50" s="1"/>
      <c r="D50" s="1"/>
      <c r="E50" s="1"/>
      <c r="F50" s="1" t="str">
        <f>IF(ISERROR(VLOOKUP(E50,Cadastro!$D$3:$E$10,2,0)),"",(VLOOKUP(E50,Cadastro!$D$3:$E$10,2,0)))</f>
        <v/>
      </c>
      <c r="G50" s="19"/>
      <c r="H50" s="1"/>
      <c r="I50" s="1"/>
      <c r="J50"/>
      <c r="K50" s="1"/>
      <c r="L50"/>
      <c r="O50" s="16"/>
    </row>
    <row r="51" spans="3:15">
      <c r="C51" s="1"/>
      <c r="D51" s="1"/>
      <c r="E51" s="1"/>
      <c r="F51" s="1" t="str">
        <f>IF(ISERROR(VLOOKUP(E51,Cadastro!$D$3:$E$10,2,0)),"",(VLOOKUP(E51,Cadastro!$D$3:$E$10,2,0)))</f>
        <v/>
      </c>
      <c r="G51" s="19"/>
      <c r="H51" s="1"/>
      <c r="I51" s="1"/>
      <c r="J51"/>
      <c r="K51" s="1"/>
      <c r="L51"/>
      <c r="O51" s="16"/>
    </row>
    <row r="52" spans="3:15">
      <c r="C52" s="1"/>
      <c r="D52" s="1"/>
      <c r="E52" s="1"/>
      <c r="F52" s="1" t="str">
        <f>IF(ISERROR(VLOOKUP(E52,Cadastro!$D$3:$E$10,2,0)),"",(VLOOKUP(E52,Cadastro!$D$3:$E$10,2,0)))</f>
        <v/>
      </c>
      <c r="G52" s="19"/>
      <c r="H52" s="1"/>
      <c r="I52" s="1"/>
      <c r="J52"/>
      <c r="K52" s="1"/>
      <c r="L52"/>
      <c r="O52" s="16"/>
    </row>
    <row r="53" spans="3:15">
      <c r="C53" s="1"/>
      <c r="D53" s="1"/>
      <c r="E53" s="1"/>
      <c r="F53" s="1" t="str">
        <f>IF(ISERROR(VLOOKUP(E53,Cadastro!$D$3:$E$10,2,0)),"",(VLOOKUP(E53,Cadastro!$D$3:$E$10,2,0)))</f>
        <v/>
      </c>
      <c r="G53" s="19"/>
      <c r="H53" s="1"/>
      <c r="I53" s="1"/>
      <c r="J53"/>
      <c r="K53" s="1"/>
      <c r="L53"/>
      <c r="O53" s="16"/>
    </row>
    <row r="54" spans="3:15">
      <c r="C54" s="1"/>
      <c r="D54" s="1"/>
      <c r="E54" s="1"/>
      <c r="F54" s="1" t="str">
        <f>IF(ISERROR(VLOOKUP(E54,Cadastro!$D$3:$E$10,2,0)),"",(VLOOKUP(E54,Cadastro!$D$3:$E$10,2,0)))</f>
        <v/>
      </c>
      <c r="G54" s="19"/>
      <c r="H54" s="1"/>
      <c r="I54" s="1"/>
      <c r="J54"/>
      <c r="K54" s="1"/>
      <c r="L54"/>
      <c r="O54" s="16"/>
    </row>
    <row r="55" spans="3:15">
      <c r="C55" s="1"/>
      <c r="D55" s="1"/>
      <c r="E55" s="1"/>
      <c r="F55" s="1" t="str">
        <f>IF(ISERROR(VLOOKUP(E55,Cadastro!$D$3:$E$10,2,0)),"",(VLOOKUP(E55,Cadastro!$D$3:$E$10,2,0)))</f>
        <v/>
      </c>
      <c r="G55" s="19"/>
      <c r="H55" s="1"/>
      <c r="I55" s="1"/>
      <c r="J55"/>
      <c r="K55" s="1"/>
      <c r="L55"/>
      <c r="O55" s="16"/>
    </row>
    <row r="56" spans="3:15">
      <c r="C56" s="1"/>
      <c r="D56" s="1"/>
      <c r="E56" s="1"/>
      <c r="F56" s="1" t="str">
        <f>IF(ISERROR(VLOOKUP(E56,Cadastro!$D$3:$E$10,2,0)),"",(VLOOKUP(E56,Cadastro!$D$3:$E$10,2,0)))</f>
        <v/>
      </c>
      <c r="G56" s="19"/>
      <c r="H56" s="1"/>
      <c r="I56" s="1"/>
      <c r="J56"/>
      <c r="K56" s="1"/>
      <c r="L56"/>
      <c r="O56" s="16"/>
    </row>
    <row r="57" spans="3:15">
      <c r="C57" s="1"/>
      <c r="D57" s="1"/>
      <c r="E57" s="1"/>
      <c r="F57" s="1" t="str">
        <f>IF(ISERROR(VLOOKUP(E57,Cadastro!$D$3:$E$10,2,0)),"",(VLOOKUP(E57,Cadastro!$D$3:$E$10,2,0)))</f>
        <v/>
      </c>
      <c r="G57" s="19"/>
      <c r="H57" s="1"/>
      <c r="I57" s="1"/>
      <c r="J57"/>
      <c r="K57" s="1"/>
      <c r="L57"/>
      <c r="O57" s="16"/>
    </row>
    <row r="58" spans="3:15">
      <c r="C58" s="1"/>
      <c r="D58" s="1"/>
      <c r="E58" s="1"/>
      <c r="F58" s="1" t="str">
        <f>IF(ISERROR(VLOOKUP(E58,Cadastro!$D$3:$E$10,2,0)),"",(VLOOKUP(E58,Cadastro!$D$3:$E$10,2,0)))</f>
        <v/>
      </c>
      <c r="G58" s="19"/>
      <c r="H58" s="1"/>
      <c r="I58" s="1"/>
      <c r="J58"/>
      <c r="K58" s="1"/>
      <c r="L58"/>
      <c r="O58" s="16"/>
    </row>
    <row r="59" spans="3:15">
      <c r="C59" s="1"/>
      <c r="D59" s="1"/>
      <c r="E59" s="1"/>
      <c r="F59" s="1" t="str">
        <f>IF(ISERROR(VLOOKUP(E59,Cadastro!$D$3:$E$10,2,0)),"",(VLOOKUP(E59,Cadastro!$D$3:$E$10,2,0)))</f>
        <v/>
      </c>
      <c r="G59" s="19"/>
      <c r="H59" s="1"/>
      <c r="I59" s="1"/>
      <c r="J59"/>
      <c r="K59" s="1"/>
      <c r="L59"/>
      <c r="O59" s="16"/>
    </row>
    <row r="60" spans="3:15">
      <c r="C60" s="1"/>
      <c r="D60" s="1"/>
      <c r="E60" s="1"/>
      <c r="F60" s="1" t="str">
        <f>IF(ISERROR(VLOOKUP(E60,Cadastro!$D$3:$E$10,2,0)),"",(VLOOKUP(E60,Cadastro!$D$3:$E$10,2,0)))</f>
        <v/>
      </c>
      <c r="G60" s="19"/>
      <c r="H60" s="1"/>
      <c r="I60" s="1"/>
      <c r="J60"/>
      <c r="K60" s="1"/>
      <c r="L60"/>
      <c r="O60" s="16"/>
    </row>
    <row r="61" spans="3:15">
      <c r="C61" s="1"/>
      <c r="D61" s="1"/>
      <c r="E61" s="1"/>
      <c r="F61" s="1" t="str">
        <f>IF(ISERROR(VLOOKUP(E61,Cadastro!$D$3:$E$10,2,0)),"",(VLOOKUP(E61,Cadastro!$D$3:$E$10,2,0)))</f>
        <v/>
      </c>
      <c r="G61" s="19"/>
      <c r="H61" s="1"/>
      <c r="I61" s="1"/>
      <c r="J61"/>
      <c r="K61" s="1"/>
      <c r="L61"/>
      <c r="O61" s="16"/>
    </row>
    <row r="62" spans="3:15">
      <c r="C62" s="1"/>
      <c r="D62" s="1"/>
      <c r="E62" s="1"/>
      <c r="F62" s="1" t="str">
        <f>IF(ISERROR(VLOOKUP(E62,Cadastro!$D$3:$E$10,2,0)),"",(VLOOKUP(E62,Cadastro!$D$3:$E$10,2,0)))</f>
        <v/>
      </c>
      <c r="G62" s="19"/>
      <c r="H62" s="1"/>
      <c r="I62" s="1"/>
      <c r="J62"/>
      <c r="K62" s="1"/>
      <c r="L62"/>
      <c r="O62" s="16"/>
    </row>
    <row r="63" spans="3:15">
      <c r="C63" s="1"/>
      <c r="D63" s="1"/>
      <c r="E63" s="1"/>
      <c r="F63" s="1" t="str">
        <f>IF(ISERROR(VLOOKUP(E63,Cadastro!$D$3:$E$10,2,0)),"",(VLOOKUP(E63,Cadastro!$D$3:$E$10,2,0)))</f>
        <v/>
      </c>
      <c r="G63" s="19"/>
      <c r="H63" s="1"/>
      <c r="I63" s="1"/>
      <c r="J63"/>
      <c r="K63" s="1"/>
      <c r="L63"/>
      <c r="O63" s="16"/>
    </row>
    <row r="64" spans="3:15">
      <c r="C64" s="1"/>
      <c r="D64" s="1"/>
      <c r="E64" s="1"/>
      <c r="F64" s="1" t="str">
        <f>IF(ISERROR(VLOOKUP(E64,Cadastro!$D$3:$E$10,2,0)),"",(VLOOKUP(E64,Cadastro!$D$3:$E$10,2,0)))</f>
        <v/>
      </c>
      <c r="G64" s="19"/>
      <c r="H64" s="1"/>
      <c r="I64" s="1"/>
      <c r="J64"/>
      <c r="K64" s="1"/>
      <c r="L64"/>
      <c r="O64" s="16"/>
    </row>
    <row r="65" spans="3:15">
      <c r="C65" s="1"/>
      <c r="D65" s="1"/>
      <c r="E65" s="1"/>
      <c r="F65" s="1" t="str">
        <f>IF(ISERROR(VLOOKUP(E65,Cadastro!$D$3:$E$10,2,0)),"",(VLOOKUP(E65,Cadastro!$D$3:$E$10,2,0)))</f>
        <v/>
      </c>
      <c r="G65" s="19"/>
      <c r="H65" s="1"/>
      <c r="I65" s="1"/>
      <c r="J65"/>
      <c r="K65" s="1"/>
      <c r="L65"/>
      <c r="O65" s="16"/>
    </row>
    <row r="66" spans="3:15">
      <c r="C66" s="1"/>
      <c r="D66" s="1"/>
      <c r="E66" s="1"/>
      <c r="F66" s="1" t="str">
        <f>IF(ISERROR(VLOOKUP(E66,Cadastro!$D$3:$E$10,2,0)),"",(VLOOKUP(E66,Cadastro!$D$3:$E$10,2,0)))</f>
        <v/>
      </c>
      <c r="G66" s="19"/>
      <c r="H66" s="1"/>
      <c r="I66" s="1"/>
      <c r="J66"/>
      <c r="K66" s="1"/>
      <c r="L66"/>
      <c r="O66" s="16"/>
    </row>
    <row r="67" spans="3:15">
      <c r="C67" s="1"/>
      <c r="D67" s="1"/>
      <c r="E67" s="1"/>
      <c r="F67" s="1" t="str">
        <f>IF(ISERROR(VLOOKUP(E67,Cadastro!$D$3:$E$10,2,0)),"",(VLOOKUP(E67,Cadastro!$D$3:$E$10,2,0)))</f>
        <v/>
      </c>
      <c r="G67" s="19"/>
      <c r="H67" s="1"/>
      <c r="I67" s="1"/>
      <c r="J67"/>
      <c r="K67" s="1"/>
      <c r="L67"/>
      <c r="O67" s="16"/>
    </row>
    <row r="68" spans="3:15">
      <c r="C68" s="1"/>
      <c r="D68" s="1"/>
      <c r="E68" s="1"/>
      <c r="F68" s="1" t="str">
        <f>IF(ISERROR(VLOOKUP(E68,Cadastro!$D$3:$E$10,2,0)),"",(VLOOKUP(E68,Cadastro!$D$3:$E$10,2,0)))</f>
        <v/>
      </c>
      <c r="G68" s="19"/>
      <c r="H68" s="1"/>
      <c r="I68" s="1"/>
      <c r="J68"/>
      <c r="K68" s="1"/>
      <c r="L68"/>
      <c r="O68" s="16"/>
    </row>
    <row r="69" spans="3:15">
      <c r="C69" s="1"/>
      <c r="D69" s="1"/>
      <c r="E69" s="1"/>
      <c r="F69" s="1" t="str">
        <f>IF(ISERROR(VLOOKUP(E69,Cadastro!$D$3:$E$10,2,0)),"",(VLOOKUP(E69,Cadastro!$D$3:$E$10,2,0)))</f>
        <v/>
      </c>
      <c r="G69" s="19"/>
      <c r="H69" s="1"/>
      <c r="I69" s="1"/>
      <c r="J69"/>
      <c r="K69" s="1"/>
      <c r="L69"/>
      <c r="O69" s="16"/>
    </row>
    <row r="70" spans="3:15">
      <c r="C70" s="1"/>
      <c r="D70" s="1"/>
      <c r="E70" s="1"/>
      <c r="F70" s="1" t="str">
        <f>IF(ISERROR(VLOOKUP(E70,Cadastro!$D$3:$E$10,2,0)),"",(VLOOKUP(E70,Cadastro!$D$3:$E$10,2,0)))</f>
        <v/>
      </c>
      <c r="G70" s="19"/>
      <c r="H70" s="1"/>
      <c r="I70" s="1"/>
      <c r="J70"/>
      <c r="K70" s="1"/>
      <c r="L70"/>
      <c r="O70" s="16"/>
    </row>
    <row r="71" spans="3:15">
      <c r="C71" s="1"/>
      <c r="D71" s="1"/>
      <c r="E71" s="1"/>
      <c r="F71" s="1" t="str">
        <f>IF(ISERROR(VLOOKUP(E71,Cadastro!$D$3:$E$10,2,0)),"",(VLOOKUP(E71,Cadastro!$D$3:$E$10,2,0)))</f>
        <v/>
      </c>
      <c r="G71" s="19"/>
      <c r="H71" s="1"/>
      <c r="I71" s="1"/>
      <c r="J71"/>
      <c r="K71" s="1"/>
      <c r="L71"/>
      <c r="O71" s="16"/>
    </row>
    <row r="72" spans="3:15">
      <c r="C72" s="1"/>
      <c r="D72" s="1"/>
      <c r="E72" s="1"/>
      <c r="F72" s="1" t="str">
        <f>IF(ISERROR(VLOOKUP(E72,Cadastro!$D$3:$E$10,2,0)),"",(VLOOKUP(E72,Cadastro!$D$3:$E$10,2,0)))</f>
        <v/>
      </c>
      <c r="G72" s="19"/>
      <c r="H72" s="1"/>
      <c r="I72" s="1"/>
      <c r="J72"/>
      <c r="K72" s="1"/>
      <c r="L72"/>
      <c r="O72" s="16"/>
    </row>
    <row r="73" spans="3:15">
      <c r="C73" s="1"/>
      <c r="D73" s="1"/>
      <c r="E73" s="1"/>
      <c r="F73" s="1" t="str">
        <f>IF(ISERROR(VLOOKUP(E73,Cadastro!$D$3:$E$10,2,0)),"",(VLOOKUP(E73,Cadastro!$D$3:$E$10,2,0)))</f>
        <v/>
      </c>
      <c r="G73" s="19"/>
      <c r="H73" s="1"/>
      <c r="I73" s="1"/>
      <c r="J73"/>
      <c r="K73" s="1"/>
      <c r="L73"/>
      <c r="O73" s="16"/>
    </row>
    <row r="74" spans="3:15">
      <c r="C74" s="1"/>
      <c r="D74" s="1"/>
      <c r="E74" s="1"/>
      <c r="F74" s="1" t="str">
        <f>IF(ISERROR(VLOOKUP(E74,Cadastro!$D$3:$E$10,2,0)),"",(VLOOKUP(E74,Cadastro!$D$3:$E$10,2,0)))</f>
        <v/>
      </c>
      <c r="G74" s="19"/>
      <c r="H74" s="1"/>
      <c r="I74" s="1"/>
      <c r="J74"/>
      <c r="K74" s="1"/>
      <c r="L74"/>
      <c r="O74" s="16"/>
    </row>
    <row r="75" spans="3:15">
      <c r="C75" s="1"/>
      <c r="D75" s="1"/>
      <c r="E75" s="1"/>
      <c r="F75" s="1" t="str">
        <f>IF(ISERROR(VLOOKUP(E75,Cadastro!$D$3:$E$10,2,0)),"",(VLOOKUP(E75,Cadastro!$D$3:$E$10,2,0)))</f>
        <v/>
      </c>
      <c r="G75" s="19"/>
      <c r="H75" s="1"/>
      <c r="I75" s="1"/>
      <c r="J75"/>
      <c r="K75" s="1"/>
      <c r="L75"/>
      <c r="O75" s="16"/>
    </row>
    <row r="76" spans="3:15">
      <c r="C76" s="1"/>
      <c r="D76" s="1"/>
      <c r="E76" s="1"/>
      <c r="F76" s="1" t="str">
        <f>IF(ISERROR(VLOOKUP(E76,Cadastro!$D$3:$E$10,2,0)),"",(VLOOKUP(E76,Cadastro!$D$3:$E$10,2,0)))</f>
        <v/>
      </c>
      <c r="G76" s="19"/>
      <c r="H76" s="1"/>
      <c r="I76" s="1"/>
      <c r="J76"/>
      <c r="K76" s="1"/>
      <c r="L76"/>
      <c r="O76" s="16"/>
    </row>
    <row r="77" spans="3:15">
      <c r="C77" s="1"/>
      <c r="D77" s="1"/>
      <c r="E77" s="1"/>
      <c r="F77" s="1" t="str">
        <f>IF(ISERROR(VLOOKUP(E77,Cadastro!$D$3:$E$10,2,0)),"",(VLOOKUP(E77,Cadastro!$D$3:$E$10,2,0)))</f>
        <v/>
      </c>
      <c r="G77" s="19"/>
      <c r="H77" s="1"/>
      <c r="I77" s="1"/>
      <c r="J77"/>
      <c r="K77" s="1"/>
      <c r="L77"/>
      <c r="O77" s="16"/>
    </row>
    <row r="78" spans="3:15">
      <c r="C78" s="1"/>
      <c r="D78" s="1"/>
      <c r="E78" s="1"/>
      <c r="F78" s="1" t="str">
        <f>IF(ISERROR(VLOOKUP(E78,Cadastro!$D$3:$E$10,2,0)),"",(VLOOKUP(E78,Cadastro!$D$3:$E$10,2,0)))</f>
        <v/>
      </c>
      <c r="G78" s="19"/>
      <c r="H78" s="1"/>
      <c r="I78" s="1"/>
      <c r="J78"/>
      <c r="K78" s="1"/>
      <c r="L78"/>
      <c r="O78" s="16"/>
    </row>
    <row r="79" spans="3:15">
      <c r="C79" s="1"/>
      <c r="D79" s="1"/>
      <c r="E79" s="1"/>
      <c r="F79" s="1" t="str">
        <f>IF(ISERROR(VLOOKUP(E79,Cadastro!$D$3:$E$10,2,0)),"",(VLOOKUP(E79,Cadastro!$D$3:$E$10,2,0)))</f>
        <v/>
      </c>
      <c r="G79" s="19"/>
      <c r="H79" s="1"/>
      <c r="I79" s="1"/>
      <c r="J79"/>
      <c r="K79" s="1"/>
      <c r="L79"/>
      <c r="O79" s="16"/>
    </row>
  </sheetData>
  <mergeCells count="2">
    <mergeCell ref="K1:O1"/>
    <mergeCell ref="C1:I1"/>
  </mergeCells>
  <pageMargins left="0.511811024" right="0.511811024" top="0.78740157499999996" bottom="0.78740157499999996" header="0.31496062000000002" footer="0.31496062000000002"/>
  <ignoredErrors>
    <ignoredError sqref="M4:M9 M10" calculatedColumn="1"/>
  </ignoredErrors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03"/>
  <sheetViews>
    <sheetView workbookViewId="0">
      <selection activeCell="B40" sqref="B40"/>
    </sheetView>
  </sheetViews>
  <sheetFormatPr defaultRowHeight="14.4"/>
  <cols>
    <col min="1" max="1" width="1" customWidth="1"/>
    <col min="2" max="2" width="11.88671875" customWidth="1"/>
    <col min="3" max="3" width="9.88671875" customWidth="1"/>
    <col min="4" max="4" width="15.44140625" style="16" customWidth="1"/>
    <col min="5" max="5" width="23.88671875" customWidth="1"/>
    <col min="6" max="6" width="13.44140625" customWidth="1"/>
    <col min="7" max="7" width="11.109375" customWidth="1"/>
    <col min="8" max="8" width="13.109375" customWidth="1"/>
    <col min="9" max="9" width="12.5546875" style="1" customWidth="1"/>
    <col min="10" max="10" width="11.6640625" style="1" customWidth="1"/>
    <col min="11" max="11" width="17.88671875" style="1" customWidth="1"/>
    <col min="12" max="12" width="2.5546875" customWidth="1"/>
    <col min="13" max="13" width="11.109375" customWidth="1"/>
    <col min="14" max="14" width="17.44140625" customWidth="1"/>
    <col min="15" max="15" width="14.6640625" style="16" customWidth="1"/>
  </cols>
  <sheetData>
    <row r="1" spans="2:15">
      <c r="B1" s="51" t="s">
        <v>71</v>
      </c>
      <c r="C1" s="51"/>
      <c r="D1" s="51"/>
      <c r="E1" s="51"/>
      <c r="F1" s="51"/>
      <c r="G1" s="51"/>
      <c r="H1" s="51"/>
      <c r="I1" s="51"/>
      <c r="J1" s="25"/>
      <c r="K1" s="25"/>
      <c r="L1" s="42"/>
      <c r="M1" s="49" t="s">
        <v>72</v>
      </c>
      <c r="N1" s="49"/>
      <c r="O1" s="49"/>
    </row>
    <row r="2" spans="2:15">
      <c r="B2" s="1" t="s">
        <v>11</v>
      </c>
      <c r="C2" s="1" t="s">
        <v>90</v>
      </c>
      <c r="D2" s="1" t="s">
        <v>8</v>
      </c>
      <c r="E2" s="1" t="s">
        <v>67</v>
      </c>
      <c r="F2" s="19" t="s">
        <v>20</v>
      </c>
      <c r="G2" s="1" t="s">
        <v>14</v>
      </c>
      <c r="H2" s="1" t="s">
        <v>68</v>
      </c>
      <c r="I2" s="1" t="s">
        <v>69</v>
      </c>
      <c r="J2" s="1" t="s">
        <v>70</v>
      </c>
      <c r="K2" s="1" t="s">
        <v>89</v>
      </c>
      <c r="L2" s="42"/>
      <c r="M2" t="s">
        <v>11</v>
      </c>
      <c r="N2" t="s">
        <v>8</v>
      </c>
      <c r="O2" s="16" t="s">
        <v>20</v>
      </c>
    </row>
    <row r="3" spans="2:15" hidden="1">
      <c r="B3" s="15">
        <v>43525</v>
      </c>
      <c r="C3" s="1">
        <v>1</v>
      </c>
      <c r="D3" s="15" t="str">
        <f>IF(ISERROR(VLOOKUP(C3,Cadastro!$D$3:$E$20,2,0)),"",(VLOOKUP(C3,Cadastro!$D$3:$E$20,2,0)))</f>
        <v>Mãe</v>
      </c>
      <c r="E3" s="1" t="s">
        <v>93</v>
      </c>
      <c r="F3" s="19">
        <v>300</v>
      </c>
      <c r="G3" s="1"/>
      <c r="H3" s="1"/>
      <c r="I3" s="1" t="s">
        <v>103</v>
      </c>
      <c r="L3" s="41"/>
      <c r="M3" s="15">
        <v>43531</v>
      </c>
      <c r="N3" s="1" t="s">
        <v>88</v>
      </c>
      <c r="O3" s="19">
        <v>1378.24</v>
      </c>
    </row>
    <row r="4" spans="2:15" hidden="1">
      <c r="B4" s="15">
        <v>43526</v>
      </c>
      <c r="C4" s="1">
        <v>9</v>
      </c>
      <c r="D4" s="15" t="str">
        <f>IF(ISERROR(VLOOKUP(C4,Cadastro!$D$3:$E$20,2,0)),"",(VLOOKUP(C4,Cadastro!$D$3:$E$20,2,0)))</f>
        <v>Norberto</v>
      </c>
      <c r="E4" s="1" t="s">
        <v>102</v>
      </c>
      <c r="F4" s="19">
        <v>32.15</v>
      </c>
      <c r="G4" s="1"/>
      <c r="H4" s="1" t="s">
        <v>103</v>
      </c>
      <c r="K4" s="15">
        <v>43526</v>
      </c>
      <c r="L4" s="41"/>
      <c r="M4" s="15">
        <v>43525</v>
      </c>
      <c r="N4" s="1" t="s">
        <v>117</v>
      </c>
      <c r="O4" s="19">
        <v>236.08</v>
      </c>
    </row>
    <row r="5" spans="2:15" hidden="1">
      <c r="B5" s="15">
        <v>43534</v>
      </c>
      <c r="C5" s="1">
        <v>9</v>
      </c>
      <c r="D5" s="15" t="str">
        <f>IF(ISERROR(VLOOKUP(C5,Cadastro!$D$3:$E$20,2,0)),"",(VLOOKUP(C5,Cadastro!$D$3:$E$20,2,0)))</f>
        <v>Norberto</v>
      </c>
      <c r="E5" s="1" t="s">
        <v>105</v>
      </c>
      <c r="F5" s="19">
        <v>149.9</v>
      </c>
      <c r="G5" s="1" t="s">
        <v>49</v>
      </c>
      <c r="H5" s="1"/>
      <c r="K5" s="15">
        <v>43525</v>
      </c>
      <c r="L5" s="41"/>
      <c r="M5" s="15"/>
      <c r="N5" s="1"/>
      <c r="O5" s="19"/>
    </row>
    <row r="6" spans="2:15" hidden="1">
      <c r="B6" s="15">
        <v>43534</v>
      </c>
      <c r="C6" s="1">
        <v>7</v>
      </c>
      <c r="D6" s="15" t="str">
        <f>IF(ISERROR(VLOOKUP(C6,Cadastro!$D$3:$E$20,2,0)),"",(VLOOKUP(C6,Cadastro!$D$3:$E$20,2,0)))</f>
        <v>Fernandinho</v>
      </c>
      <c r="E6" s="1" t="s">
        <v>106</v>
      </c>
      <c r="F6" s="19">
        <v>75</v>
      </c>
      <c r="G6" s="1" t="s">
        <v>28</v>
      </c>
      <c r="H6" s="1"/>
      <c r="K6" s="15">
        <v>43525</v>
      </c>
      <c r="L6" s="41"/>
      <c r="M6" s="1"/>
      <c r="N6" s="1"/>
      <c r="O6" s="19"/>
    </row>
    <row r="7" spans="2:15" hidden="1">
      <c r="B7" s="15">
        <v>43534</v>
      </c>
      <c r="C7" s="1">
        <v>9</v>
      </c>
      <c r="D7" s="15" t="str">
        <f>IF(ISERROR(VLOOKUP(C7,Cadastro!$D$3:$E$20,2,0)),"",(VLOOKUP(C7,Cadastro!$D$3:$E$20,2,0)))</f>
        <v>Norberto</v>
      </c>
      <c r="E7" s="1" t="s">
        <v>27</v>
      </c>
      <c r="F7" s="19">
        <v>116.8</v>
      </c>
      <c r="G7" s="1" t="s">
        <v>49</v>
      </c>
      <c r="H7" s="1"/>
      <c r="K7" s="15">
        <v>43525</v>
      </c>
      <c r="L7" s="41"/>
      <c r="M7" s="1"/>
      <c r="N7" s="44"/>
      <c r="O7" s="19"/>
    </row>
    <row r="8" spans="2:15" hidden="1">
      <c r="B8" s="15">
        <v>43534</v>
      </c>
      <c r="C8" s="1">
        <v>9</v>
      </c>
      <c r="D8" s="15" t="str">
        <f>IF(ISERROR(VLOOKUP(C8,Cadastro!$D$3:$E$20,2,0)),"",(VLOOKUP(C8,Cadastro!$D$3:$E$20,2,0)))</f>
        <v>Norberto</v>
      </c>
      <c r="E8" s="1" t="s">
        <v>99</v>
      </c>
      <c r="F8" s="19">
        <v>64.75</v>
      </c>
      <c r="G8" s="1" t="s">
        <v>28</v>
      </c>
      <c r="H8" s="1"/>
      <c r="K8" s="15">
        <v>43525</v>
      </c>
      <c r="L8" s="41"/>
      <c r="M8" s="1"/>
      <c r="N8" s="1"/>
      <c r="O8" s="19"/>
    </row>
    <row r="9" spans="2:15" hidden="1">
      <c r="B9" s="15">
        <v>43534</v>
      </c>
      <c r="C9" s="1">
        <v>9</v>
      </c>
      <c r="D9" s="15" t="str">
        <f>IF(ISERROR(VLOOKUP(C9,Cadastro!$D$3:$E$20,2,0)),"",(VLOOKUP(C9,Cadastro!$D$3:$E$20,2,0)))</f>
        <v>Norberto</v>
      </c>
      <c r="E9" s="1" t="s">
        <v>99</v>
      </c>
      <c r="F9" s="19">
        <v>303.94</v>
      </c>
      <c r="G9" s="1" t="s">
        <v>49</v>
      </c>
      <c r="H9" s="1"/>
      <c r="L9" s="41"/>
      <c r="M9" s="1"/>
      <c r="N9" s="1"/>
      <c r="O9" s="19"/>
    </row>
    <row r="10" spans="2:15" hidden="1">
      <c r="B10" s="15">
        <v>43534</v>
      </c>
      <c r="C10" s="1">
        <v>3</v>
      </c>
      <c r="D10" s="15" t="str">
        <f>IF(ISERROR(VLOOKUP(C10,Cadastro!$D$3:$E$20,2,0)),"",(VLOOKUP(C10,Cadastro!$D$3:$E$20,2,0)))</f>
        <v>Irmã</v>
      </c>
      <c r="E10" s="1" t="s">
        <v>46</v>
      </c>
      <c r="F10" s="19">
        <v>36.049999999999997</v>
      </c>
      <c r="G10" s="1" t="s">
        <v>28</v>
      </c>
      <c r="H10" s="1"/>
      <c r="L10" s="41"/>
      <c r="M10" s="1"/>
      <c r="N10" s="1"/>
      <c r="O10" s="19"/>
    </row>
    <row r="11" spans="2:15" hidden="1">
      <c r="B11" s="15">
        <v>43534</v>
      </c>
      <c r="C11" s="1">
        <v>1</v>
      </c>
      <c r="D11" s="15" t="str">
        <f>IF(ISERROR(VLOOKUP(C11,Cadastro!$D$3:$E$20,2,0)),"",(VLOOKUP(C11,Cadastro!$D$3:$E$20,2,0)))</f>
        <v>Mãe</v>
      </c>
      <c r="E11" s="1" t="s">
        <v>43</v>
      </c>
      <c r="F11" s="19">
        <v>60.98</v>
      </c>
      <c r="G11" s="1" t="s">
        <v>49</v>
      </c>
      <c r="H11" s="1"/>
      <c r="L11" s="41"/>
      <c r="M11" s="1"/>
      <c r="N11" s="1"/>
      <c r="O11" s="19"/>
    </row>
    <row r="12" spans="2:15" hidden="1">
      <c r="B12" s="15">
        <v>43534</v>
      </c>
      <c r="C12" s="1">
        <v>2</v>
      </c>
      <c r="D12" s="15" t="str">
        <f>IF(ISERROR(VLOOKUP(C12,Cadastro!$D$3:$E$20,2,0)),"",(VLOOKUP(C12,Cadastro!$D$3:$E$20,2,0)))</f>
        <v>Paulo</v>
      </c>
      <c r="E12" s="1" t="s">
        <v>107</v>
      </c>
      <c r="F12" s="19">
        <v>27.1</v>
      </c>
      <c r="G12" s="1" t="s">
        <v>28</v>
      </c>
      <c r="H12" s="1"/>
      <c r="L12" s="41"/>
      <c r="M12" s="1"/>
      <c r="N12" s="1"/>
      <c r="O12" s="19"/>
    </row>
    <row r="13" spans="2:15" hidden="1">
      <c r="B13" s="15">
        <v>43535</v>
      </c>
      <c r="C13" s="1">
        <v>9</v>
      </c>
      <c r="D13" s="15" t="str">
        <f>IF(ISERROR(VLOOKUP(C13,Cadastro!$D$3:$E$20,2,0)),"",(VLOOKUP(C13,Cadastro!$D$3:$E$20,2,0)))</f>
        <v>Norberto</v>
      </c>
      <c r="E13" s="1" t="s">
        <v>99</v>
      </c>
      <c r="F13" s="19">
        <v>10</v>
      </c>
      <c r="G13" s="1"/>
      <c r="H13" s="1" t="s">
        <v>103</v>
      </c>
      <c r="I13" s="1" t="s">
        <v>104</v>
      </c>
      <c r="K13" s="15">
        <v>43535</v>
      </c>
      <c r="L13" s="41"/>
      <c r="M13" s="1"/>
      <c r="N13" s="1"/>
      <c r="O13" s="19"/>
    </row>
    <row r="14" spans="2:15" hidden="1">
      <c r="B14" s="15">
        <v>43539</v>
      </c>
      <c r="C14" s="1">
        <v>9</v>
      </c>
      <c r="D14" s="15" t="str">
        <f>IF(ISERROR(VLOOKUP(C14,Cadastro!$D$3:$E$20,2,0)),"",(VLOOKUP(C14,Cadastro!$D$3:$E$20,2,0)))</f>
        <v>Norberto</v>
      </c>
      <c r="E14" s="1" t="s">
        <v>108</v>
      </c>
      <c r="F14" s="19">
        <v>50</v>
      </c>
      <c r="G14" s="1"/>
      <c r="H14" s="1"/>
      <c r="J14" s="1" t="s">
        <v>103</v>
      </c>
      <c r="L14" s="41"/>
      <c r="M14" s="1"/>
      <c r="N14" s="1"/>
      <c r="O14" s="19"/>
    </row>
    <row r="15" spans="2:15" hidden="1">
      <c r="B15" s="15">
        <v>43539</v>
      </c>
      <c r="C15" s="1">
        <v>9</v>
      </c>
      <c r="D15" s="15" t="str">
        <f>IF(ISERROR(VLOOKUP(C15,Cadastro!$D$3:$E$20,2,0)),"",(VLOOKUP(C15,Cadastro!$D$3:$E$20,2,0)))</f>
        <v>Norberto</v>
      </c>
      <c r="E15" s="1" t="s">
        <v>96</v>
      </c>
      <c r="F15" s="19">
        <v>59.99</v>
      </c>
      <c r="G15" s="1"/>
      <c r="H15" s="1" t="s">
        <v>103</v>
      </c>
      <c r="L15" s="41"/>
      <c r="M15" s="1"/>
      <c r="N15" s="1"/>
      <c r="O15" s="19"/>
    </row>
    <row r="16" spans="2:15" hidden="1">
      <c r="B16" s="15">
        <v>43541</v>
      </c>
      <c r="C16" s="1">
        <v>9</v>
      </c>
      <c r="D16" s="15" t="str">
        <f>IF(ISERROR(VLOOKUP(C16,Cadastro!$D$3:$E$20,2,0)),"",(VLOOKUP(C16,Cadastro!$D$3:$E$20,2,0)))</f>
        <v>Norberto</v>
      </c>
      <c r="E16" s="1" t="s">
        <v>109</v>
      </c>
      <c r="F16" s="19">
        <v>20</v>
      </c>
      <c r="G16" s="1" t="s">
        <v>40</v>
      </c>
      <c r="H16" s="1"/>
      <c r="L16" s="41"/>
      <c r="M16" s="1"/>
      <c r="N16" s="1"/>
      <c r="O16" s="19"/>
    </row>
    <row r="17" spans="2:15" hidden="1">
      <c r="B17" s="15">
        <v>43541</v>
      </c>
      <c r="C17" s="1">
        <v>8</v>
      </c>
      <c r="D17" s="15" t="str">
        <f>IF(ISERROR(VLOOKUP(C17,Cadastro!$D$3:$E$20,2,0)),"",(VLOOKUP(C17,Cadastro!$D$3:$E$20,2,0)))</f>
        <v>Iva</v>
      </c>
      <c r="E17" s="1" t="s">
        <v>43</v>
      </c>
      <c r="F17" s="19">
        <v>31.42</v>
      </c>
      <c r="G17" s="1" t="s">
        <v>40</v>
      </c>
      <c r="H17" s="1"/>
      <c r="L17" s="41"/>
      <c r="M17" s="1"/>
      <c r="N17" s="1"/>
      <c r="O17" s="19"/>
    </row>
    <row r="18" spans="2:15" hidden="1">
      <c r="B18" s="15">
        <v>43541</v>
      </c>
      <c r="C18" s="1">
        <v>9</v>
      </c>
      <c r="D18" s="15" t="str">
        <f>IF(ISERROR(VLOOKUP(C18,Cadastro!$D$3:$E$20,2,0)),"",(VLOOKUP(C18,Cadastro!$D$3:$E$20,2,0)))</f>
        <v>Norberto</v>
      </c>
      <c r="E18" s="1" t="s">
        <v>99</v>
      </c>
      <c r="F18" s="19">
        <v>134.83000000000001</v>
      </c>
      <c r="G18" s="1" t="s">
        <v>40</v>
      </c>
      <c r="H18" s="1"/>
      <c r="L18" s="41"/>
      <c r="M18" s="1"/>
      <c r="N18" s="1"/>
      <c r="O18" s="19"/>
    </row>
    <row r="19" spans="2:15" hidden="1">
      <c r="B19" s="15">
        <v>43541</v>
      </c>
      <c r="C19" s="1">
        <v>2</v>
      </c>
      <c r="D19" s="15" t="str">
        <f>IF(ISERROR(VLOOKUP(C19,Cadastro!$D$3:$E$20,2,0)),"",(VLOOKUP(C19,Cadastro!$D$3:$E$20,2,0)))</f>
        <v>Paulo</v>
      </c>
      <c r="E19" s="1" t="s">
        <v>41</v>
      </c>
      <c r="F19" s="19">
        <v>44.99</v>
      </c>
      <c r="G19" s="1" t="s">
        <v>40</v>
      </c>
      <c r="H19" s="1"/>
      <c r="L19" s="41"/>
      <c r="M19" s="1"/>
      <c r="N19" s="1"/>
      <c r="O19" s="19"/>
    </row>
    <row r="20" spans="2:15" hidden="1">
      <c r="B20" s="15">
        <v>43542</v>
      </c>
      <c r="C20" s="1">
        <v>7</v>
      </c>
      <c r="D20" s="15" t="str">
        <f>IF(ISERROR(VLOOKUP(C20,Cadastro!$D$3:$E$20,2,0)),"",(VLOOKUP(C20,Cadastro!$D$3:$E$20,2,0)))</f>
        <v>Fernandinho</v>
      </c>
      <c r="E20" s="1" t="s">
        <v>44</v>
      </c>
      <c r="F20" s="19">
        <v>26.9</v>
      </c>
      <c r="G20" s="1" t="s">
        <v>62</v>
      </c>
      <c r="H20" s="1"/>
      <c r="L20" s="41"/>
      <c r="M20" s="1"/>
      <c r="N20" s="1"/>
      <c r="O20" s="19"/>
    </row>
    <row r="21" spans="2:15" hidden="1">
      <c r="B21" s="15">
        <v>43542</v>
      </c>
      <c r="C21" s="1">
        <v>6</v>
      </c>
      <c r="D21" s="15" t="str">
        <f>IF(ISERROR(VLOOKUP(C21,Cadastro!$D$3:$E$20,2,0)),"",(VLOOKUP(C21,Cadastro!$D$3:$E$20,2,0)))</f>
        <v>Allan</v>
      </c>
      <c r="E21" s="1" t="s">
        <v>39</v>
      </c>
      <c r="F21" s="19">
        <v>40</v>
      </c>
      <c r="G21" s="1" t="s">
        <v>62</v>
      </c>
      <c r="H21" s="1"/>
      <c r="L21" s="41"/>
      <c r="M21" s="1"/>
      <c r="N21" s="1"/>
      <c r="O21" s="19"/>
    </row>
    <row r="22" spans="2:15" hidden="1">
      <c r="B22" s="15">
        <v>43542</v>
      </c>
      <c r="C22" s="1">
        <v>1</v>
      </c>
      <c r="D22" s="15" t="str">
        <f>IF(ISERROR(VLOOKUP(C22,Cadastro!$D$3:$E$20,2,0)),"",(VLOOKUP(C22,Cadastro!$D$3:$E$20,2,0)))</f>
        <v>Mãe</v>
      </c>
      <c r="E22" s="1" t="s">
        <v>38</v>
      </c>
      <c r="F22" s="19">
        <v>47.8</v>
      </c>
      <c r="G22" s="1" t="s">
        <v>62</v>
      </c>
      <c r="H22" s="1"/>
      <c r="L22" s="41"/>
      <c r="M22" s="1"/>
      <c r="N22" s="1"/>
      <c r="O22" s="19"/>
    </row>
    <row r="23" spans="2:15" hidden="1">
      <c r="B23" s="15">
        <v>43542</v>
      </c>
      <c r="C23" s="1">
        <v>7</v>
      </c>
      <c r="D23" s="15" t="str">
        <f>IF(ISERROR(VLOOKUP(C23,Cadastro!$D$3:$E$20,2,0)),"",(VLOOKUP(C23,Cadastro!$D$3:$E$20,2,0)))</f>
        <v>Fernandinho</v>
      </c>
      <c r="E23" s="1" t="s">
        <v>36</v>
      </c>
      <c r="F23" s="19">
        <v>220.19</v>
      </c>
      <c r="G23" s="1" t="s">
        <v>62</v>
      </c>
      <c r="H23" s="1"/>
      <c r="L23" s="41"/>
      <c r="M23" s="1"/>
      <c r="N23" s="1"/>
      <c r="O23" s="19"/>
    </row>
    <row r="24" spans="2:15" hidden="1">
      <c r="B24" s="15">
        <v>43542</v>
      </c>
      <c r="C24" s="1">
        <v>9</v>
      </c>
      <c r="D24" s="15" t="str">
        <f>IF(ISERROR(VLOOKUP(C24,Cadastro!$D$3:$E$20,2,0)),"",(VLOOKUP(C24,Cadastro!$D$3:$E$20,2,0)))</f>
        <v>Norberto</v>
      </c>
      <c r="E24" s="1" t="s">
        <v>110</v>
      </c>
      <c r="F24" s="19">
        <v>16.09</v>
      </c>
      <c r="G24" s="1" t="s">
        <v>62</v>
      </c>
      <c r="H24" s="1"/>
      <c r="L24" s="41"/>
      <c r="M24" s="1"/>
      <c r="N24" s="1"/>
      <c r="O24" s="19"/>
    </row>
    <row r="25" spans="2:15" hidden="1">
      <c r="B25" s="15">
        <v>43543</v>
      </c>
      <c r="C25" s="1">
        <v>9</v>
      </c>
      <c r="D25" s="15" t="str">
        <f>IF(ISERROR(VLOOKUP(C25,Cadastro!$D$3:$E$20,2,0)),"",(VLOOKUP(C25,Cadastro!$D$3:$E$20,2,0)))</f>
        <v>Norberto</v>
      </c>
      <c r="E25" s="1" t="s">
        <v>111</v>
      </c>
      <c r="F25" s="19">
        <v>27</v>
      </c>
      <c r="G25" s="1" t="s">
        <v>30</v>
      </c>
      <c r="H25" s="1"/>
      <c r="L25" s="41"/>
      <c r="M25" s="1"/>
      <c r="N25" s="1"/>
      <c r="O25" s="19"/>
    </row>
    <row r="26" spans="2:15" hidden="1">
      <c r="B26" s="15">
        <v>43543</v>
      </c>
      <c r="C26" s="1">
        <v>9</v>
      </c>
      <c r="D26" s="15" t="str">
        <f>IF(ISERROR(VLOOKUP(C26,Cadastro!$D$3:$E$20,2,0)),"",(VLOOKUP(C26,Cadastro!$D$3:$E$20,2,0)))</f>
        <v>Norberto</v>
      </c>
      <c r="E26" s="1" t="s">
        <v>112</v>
      </c>
      <c r="F26" s="19">
        <v>121.99</v>
      </c>
      <c r="G26" s="1" t="s">
        <v>30</v>
      </c>
      <c r="H26" s="1"/>
      <c r="L26" s="41"/>
      <c r="M26" s="1"/>
      <c r="N26" s="1"/>
      <c r="O26" s="19"/>
    </row>
    <row r="27" spans="2:15" hidden="1">
      <c r="B27" s="15">
        <v>43544</v>
      </c>
      <c r="C27" s="1">
        <v>5</v>
      </c>
      <c r="D27" s="15" t="str">
        <f>IF(ISERROR(VLOOKUP(C27,Cadastro!$D$3:$E$20,2,0)),"",(VLOOKUP(C27,Cadastro!$D$3:$E$20,2,0)))</f>
        <v>Patricia</v>
      </c>
      <c r="E27" s="1" t="s">
        <v>113</v>
      </c>
      <c r="F27" s="19">
        <v>69.900000000000006</v>
      </c>
      <c r="G27" s="1" t="s">
        <v>30</v>
      </c>
      <c r="H27" s="1"/>
      <c r="L27" s="41"/>
      <c r="M27" s="1"/>
      <c r="N27" s="1"/>
      <c r="O27" s="19"/>
    </row>
    <row r="28" spans="2:15" hidden="1">
      <c r="B28" s="15">
        <v>43545</v>
      </c>
      <c r="C28" s="1">
        <v>2</v>
      </c>
      <c r="D28" s="15" t="str">
        <f>IF(ISERROR(VLOOKUP(C28,Cadastro!$D$3:$E$20,2,0)),"",(VLOOKUP(C28,Cadastro!$D$3:$E$20,2,0)))</f>
        <v>Paulo</v>
      </c>
      <c r="E28" s="1" t="s">
        <v>114</v>
      </c>
      <c r="F28" s="19">
        <v>58.33</v>
      </c>
      <c r="G28" s="1" t="s">
        <v>30</v>
      </c>
      <c r="H28" s="1"/>
      <c r="L28" s="41"/>
      <c r="M28" s="1"/>
      <c r="N28" s="1"/>
      <c r="O28" s="19"/>
    </row>
    <row r="29" spans="2:15" hidden="1">
      <c r="B29" s="15">
        <v>43546</v>
      </c>
      <c r="C29" s="1">
        <v>9</v>
      </c>
      <c r="D29" s="15" t="str">
        <f>IF(ISERROR(VLOOKUP(C29,Cadastro!$D$3:$E$20,2,0)),"",(VLOOKUP(C29,Cadastro!$D$3:$E$20,2,0)))</f>
        <v>Norberto</v>
      </c>
      <c r="E29" s="1" t="s">
        <v>99</v>
      </c>
      <c r="F29" s="19">
        <v>57.24</v>
      </c>
      <c r="G29" s="1" t="s">
        <v>30</v>
      </c>
      <c r="H29" s="1"/>
      <c r="L29" s="41"/>
      <c r="M29" s="1"/>
      <c r="N29" s="1"/>
      <c r="O29" s="19"/>
    </row>
    <row r="30" spans="2:15" hidden="1">
      <c r="B30" s="15">
        <v>43547</v>
      </c>
      <c r="C30" s="1">
        <v>3</v>
      </c>
      <c r="D30" s="15" t="str">
        <f>IF(ISERROR(VLOOKUP(C30,Cadastro!$D$3:$E$20,2,0)),"",(VLOOKUP(C30,Cadastro!$D$3:$E$20,2,0)))</f>
        <v>Irmã</v>
      </c>
      <c r="E30" s="1" t="s">
        <v>36</v>
      </c>
      <c r="F30" s="19">
        <v>102.5</v>
      </c>
      <c r="G30" s="1" t="s">
        <v>30</v>
      </c>
      <c r="H30" s="1"/>
      <c r="L30" s="41"/>
      <c r="M30" s="1"/>
      <c r="N30" s="1"/>
      <c r="O30" s="19"/>
    </row>
    <row r="31" spans="2:15" hidden="1">
      <c r="B31" s="15">
        <v>43548</v>
      </c>
      <c r="C31" s="1">
        <v>1</v>
      </c>
      <c r="D31" s="15" t="str">
        <f>IF(ISERROR(VLOOKUP(C31,Cadastro!$D$3:$E$20,2,0)),"",(VLOOKUP(C31,Cadastro!$D$3:$E$20,2,0)))</f>
        <v>Mãe</v>
      </c>
      <c r="E31" s="1" t="s">
        <v>31</v>
      </c>
      <c r="F31" s="19">
        <v>42.5</v>
      </c>
      <c r="G31" s="1" t="s">
        <v>30</v>
      </c>
      <c r="H31" s="1"/>
      <c r="L31" s="41"/>
      <c r="M31" s="1"/>
      <c r="N31" s="1"/>
      <c r="O31" s="19"/>
    </row>
    <row r="32" spans="2:15">
      <c r="B32" s="15">
        <v>43572</v>
      </c>
      <c r="C32" s="1">
        <v>9</v>
      </c>
      <c r="D32" s="15" t="str">
        <f>IF(ISERROR(VLOOKUP(C32,Cadastro!$D$3:$E$20,2,0)),"",(VLOOKUP(C32,Cadastro!$D$3:$E$20,2,0)))</f>
        <v>Norberto</v>
      </c>
      <c r="E32" s="1" t="s">
        <v>50</v>
      </c>
      <c r="F32" s="19">
        <v>14.75</v>
      </c>
      <c r="G32" s="1" t="s">
        <v>40</v>
      </c>
      <c r="H32" s="1"/>
      <c r="K32" s="15">
        <v>43532</v>
      </c>
      <c r="L32" s="41"/>
      <c r="M32" s="1"/>
      <c r="N32" s="1"/>
      <c r="O32" s="19"/>
    </row>
    <row r="33" spans="2:15" hidden="1">
      <c r="B33" s="15">
        <v>43572</v>
      </c>
      <c r="C33" s="1">
        <v>7</v>
      </c>
      <c r="D33" s="15" t="str">
        <f>IF(ISERROR(VLOOKUP(C33,Cadastro!$D$3:$E$20,2,0)),"",(VLOOKUP(C33,Cadastro!$D$3:$E$20,2,0)))</f>
        <v>Fernandinho</v>
      </c>
      <c r="E33" s="1" t="s">
        <v>115</v>
      </c>
      <c r="F33" s="19">
        <v>29</v>
      </c>
      <c r="G33" s="1" t="s">
        <v>40</v>
      </c>
      <c r="H33" s="1"/>
      <c r="K33" s="15">
        <v>43532</v>
      </c>
      <c r="L33" s="41"/>
      <c r="M33" s="1"/>
      <c r="N33" s="1"/>
      <c r="O33" s="19"/>
    </row>
    <row r="34" spans="2:15">
      <c r="B34" s="15">
        <v>43572</v>
      </c>
      <c r="C34" s="1">
        <v>9</v>
      </c>
      <c r="D34" s="15" t="str">
        <f>IF(ISERROR(VLOOKUP(C34,Cadastro!$D$3:$E$20,2,0)),"",(VLOOKUP(C34,Cadastro!$D$3:$E$20,2,0)))</f>
        <v>Norberto</v>
      </c>
      <c r="E34" s="1" t="s">
        <v>50</v>
      </c>
      <c r="F34" s="19">
        <v>6</v>
      </c>
      <c r="G34" s="1" t="s">
        <v>40</v>
      </c>
      <c r="H34" s="1"/>
      <c r="K34" s="15">
        <v>43533</v>
      </c>
      <c r="L34" s="41"/>
      <c r="M34" s="1"/>
      <c r="N34" s="1"/>
      <c r="O34" s="19"/>
    </row>
    <row r="35" spans="2:15" hidden="1">
      <c r="B35" s="15">
        <v>43572</v>
      </c>
      <c r="C35" s="1">
        <v>9</v>
      </c>
      <c r="D35" s="15" t="str">
        <f>IF(ISERROR(VLOOKUP(C35,Cadastro!$D$3:$E$20,2,0)),"",(VLOOKUP(C35,Cadastro!$D$3:$E$20,2,0)))</f>
        <v>Norberto</v>
      </c>
      <c r="E35" s="1" t="s">
        <v>94</v>
      </c>
      <c r="F35" s="19">
        <v>18</v>
      </c>
      <c r="G35" s="1" t="s">
        <v>40</v>
      </c>
      <c r="H35" s="1"/>
      <c r="K35" s="15">
        <v>43534</v>
      </c>
      <c r="L35" s="41"/>
      <c r="M35" s="1"/>
      <c r="N35" s="1"/>
      <c r="O35" s="19"/>
    </row>
    <row r="36" spans="2:15" hidden="1">
      <c r="B36" s="15">
        <v>43565</v>
      </c>
      <c r="C36" s="1">
        <v>9</v>
      </c>
      <c r="D36" s="15" t="str">
        <f>IF(ISERROR(VLOOKUP(C36,Cadastro!$D$3:$E$20,2,0)),"",(VLOOKUP(C36,Cadastro!$D$3:$E$20,2,0)))</f>
        <v>Norberto</v>
      </c>
      <c r="E36" s="1" t="s">
        <v>118</v>
      </c>
      <c r="F36" s="19">
        <v>31.25</v>
      </c>
      <c r="G36" s="1" t="s">
        <v>91</v>
      </c>
      <c r="H36" s="1"/>
      <c r="K36" s="15">
        <v>43536</v>
      </c>
      <c r="L36" s="41"/>
      <c r="M36" s="1"/>
      <c r="N36" s="1"/>
      <c r="O36" s="19"/>
    </row>
    <row r="37" spans="2:15" hidden="1">
      <c r="B37" s="15">
        <v>43574</v>
      </c>
      <c r="C37" s="1">
        <v>9</v>
      </c>
      <c r="D37" s="15" t="str">
        <f>IF(ISERROR(VLOOKUP(C37,Cadastro!$D$3:$E$20,2,0)),"",(VLOOKUP(C37,Cadastro!$D$3:$E$20,2,0)))</f>
        <v>Norberto</v>
      </c>
      <c r="E37" s="1" t="s">
        <v>116</v>
      </c>
      <c r="F37" s="19">
        <v>58.81</v>
      </c>
      <c r="G37" s="1" t="s">
        <v>30</v>
      </c>
      <c r="H37" s="1"/>
      <c r="K37" s="15">
        <v>43536</v>
      </c>
      <c r="L37" s="41"/>
      <c r="M37" s="1"/>
      <c r="N37" s="1"/>
      <c r="O37" s="19"/>
    </row>
    <row r="38" spans="2:15">
      <c r="B38" s="15">
        <v>43561</v>
      </c>
      <c r="C38" s="1">
        <v>9</v>
      </c>
      <c r="D38" s="15" t="str">
        <f>IF(ISERROR(VLOOKUP(C38,Cadastro!$D$3:$E$20,2,0)),"",(VLOOKUP(C38,Cadastro!$D$3:$E$20,2,0)))</f>
        <v>Norberto</v>
      </c>
      <c r="E38" s="1" t="s">
        <v>50</v>
      </c>
      <c r="F38" s="19">
        <v>23</v>
      </c>
      <c r="G38" s="1" t="s">
        <v>61</v>
      </c>
      <c r="H38" s="1"/>
      <c r="K38" s="15">
        <v>43548</v>
      </c>
      <c r="L38" s="41"/>
      <c r="M38" s="1"/>
      <c r="N38" s="1"/>
      <c r="O38" s="19"/>
    </row>
    <row r="39" spans="2:15">
      <c r="B39" s="15">
        <v>43565</v>
      </c>
      <c r="C39" s="1">
        <v>9</v>
      </c>
      <c r="D39" s="15" t="str">
        <f>IF(ISERROR(VLOOKUP(C39,Cadastro!$D$3:$E$20,2,0)),"",(VLOOKUP(C39,Cadastro!$D$3:$E$20,2,0)))</f>
        <v>Norberto</v>
      </c>
      <c r="E39" s="1" t="s">
        <v>50</v>
      </c>
      <c r="F39" s="19">
        <v>6</v>
      </c>
      <c r="G39" s="1" t="s">
        <v>49</v>
      </c>
      <c r="H39" s="1"/>
      <c r="K39" s="15">
        <v>43523</v>
      </c>
      <c r="L39" s="41"/>
      <c r="M39" s="1"/>
      <c r="N39" s="1"/>
      <c r="O39" s="19"/>
    </row>
    <row r="40" spans="2:15" hidden="1">
      <c r="B40" s="15">
        <v>43565</v>
      </c>
      <c r="C40" s="1">
        <v>9</v>
      </c>
      <c r="D40" s="15" t="str">
        <f>IF(ISERROR(VLOOKUP(C40,Cadastro!$D$3:$E$20,2,0)),"",(VLOOKUP(C40,Cadastro!$D$3:$E$20,2,0)))</f>
        <v>Norberto</v>
      </c>
      <c r="E40" s="1" t="s">
        <v>99</v>
      </c>
      <c r="F40" s="19">
        <v>10.3</v>
      </c>
      <c r="G40" s="1" t="s">
        <v>49</v>
      </c>
      <c r="H40" s="1"/>
      <c r="K40" s="15">
        <v>43525</v>
      </c>
      <c r="L40" s="41"/>
      <c r="M40" s="1"/>
      <c r="N40" s="1"/>
      <c r="O40" s="19"/>
    </row>
    <row r="41" spans="2:15" hidden="1">
      <c r="B41" s="15">
        <v>43565</v>
      </c>
      <c r="C41" s="1">
        <v>9</v>
      </c>
      <c r="D41" s="15" t="str">
        <f>IF(ISERROR(VLOOKUP(C41,Cadastro!$D$3:$E$20,2,0)),"",(VLOOKUP(C41,Cadastro!$D$3:$E$20,2,0)))</f>
        <v>Norberto</v>
      </c>
      <c r="E41" s="1" t="s">
        <v>99</v>
      </c>
      <c r="F41" s="19">
        <v>10.08</v>
      </c>
      <c r="G41" s="1" t="s">
        <v>49</v>
      </c>
      <c r="H41" s="1"/>
      <c r="K41" s="15">
        <v>43525</v>
      </c>
      <c r="L41" s="41"/>
      <c r="M41" s="1"/>
      <c r="N41" s="1"/>
      <c r="O41" s="19"/>
    </row>
    <row r="42" spans="2:15" hidden="1">
      <c r="B42" s="15">
        <v>43565</v>
      </c>
      <c r="C42" s="1">
        <v>9</v>
      </c>
      <c r="D42" s="15" t="str">
        <f>IF(ISERROR(VLOOKUP(C42,Cadastro!$D$3:$E$20,2,0)),"",(VLOOKUP(C42,Cadastro!$D$3:$E$20,2,0)))</f>
        <v>Norberto</v>
      </c>
      <c r="E42" s="1" t="s">
        <v>99</v>
      </c>
      <c r="F42" s="19">
        <v>11.43</v>
      </c>
      <c r="G42" s="1" t="s">
        <v>49</v>
      </c>
      <c r="H42" s="1"/>
      <c r="K42" s="15">
        <v>43526</v>
      </c>
      <c r="L42" s="41"/>
      <c r="M42" s="1"/>
      <c r="N42" s="1"/>
      <c r="O42" s="19"/>
    </row>
    <row r="43" spans="2:15" hidden="1">
      <c r="B43" s="15">
        <v>43565</v>
      </c>
      <c r="C43" s="1">
        <v>9</v>
      </c>
      <c r="D43" s="15" t="str">
        <f>IF(ISERROR(VLOOKUP(C43,Cadastro!$D$3:$E$20,2,0)),"",(VLOOKUP(C43,Cadastro!$D$3:$E$20,2,0)))</f>
        <v>Norberto</v>
      </c>
      <c r="E43" s="1" t="s">
        <v>99</v>
      </c>
      <c r="F43" s="19">
        <v>14.99</v>
      </c>
      <c r="G43" s="1" t="s">
        <v>49</v>
      </c>
      <c r="H43" s="1"/>
      <c r="K43" s="15">
        <v>43526</v>
      </c>
      <c r="L43" s="41"/>
      <c r="M43" s="1"/>
      <c r="N43" s="1"/>
      <c r="O43" s="19"/>
    </row>
    <row r="44" spans="2:15" hidden="1">
      <c r="B44" s="15">
        <v>43565</v>
      </c>
      <c r="C44" s="1">
        <v>9</v>
      </c>
      <c r="D44" s="15" t="str">
        <f>IF(ISERROR(VLOOKUP(C44,Cadastro!$D$3:$E$20,2,0)),"",(VLOOKUP(C44,Cadastro!$D$3:$E$20,2,0)))</f>
        <v>Norberto</v>
      </c>
      <c r="E44" s="1" t="s">
        <v>99</v>
      </c>
      <c r="F44" s="19">
        <v>20.239999999999998</v>
      </c>
      <c r="G44" s="1" t="s">
        <v>49</v>
      </c>
      <c r="H44" s="1"/>
      <c r="K44" s="15">
        <v>43528</v>
      </c>
      <c r="L44" s="41"/>
      <c r="M44" s="1"/>
      <c r="N44" s="1"/>
      <c r="O44" s="19"/>
    </row>
    <row r="45" spans="2:15" hidden="1">
      <c r="B45" s="15">
        <v>43565</v>
      </c>
      <c r="C45" s="1">
        <v>9</v>
      </c>
      <c r="D45" s="15" t="str">
        <f>IF(ISERROR(VLOOKUP(C45,Cadastro!$D$3:$E$20,2,0)),"",(VLOOKUP(C45,Cadastro!$D$3:$E$20,2,0)))</f>
        <v>Norberto</v>
      </c>
      <c r="E45" s="1" t="s">
        <v>99</v>
      </c>
      <c r="F45" s="19">
        <v>8.52</v>
      </c>
      <c r="G45" s="1" t="s">
        <v>49</v>
      </c>
      <c r="H45" s="1"/>
      <c r="K45" s="15">
        <v>43533</v>
      </c>
      <c r="L45" s="41"/>
      <c r="M45" s="1"/>
      <c r="N45" s="1"/>
      <c r="O45" s="19"/>
    </row>
    <row r="46" spans="2:15" hidden="1">
      <c r="B46" s="15">
        <v>43565</v>
      </c>
      <c r="C46" s="1">
        <v>9</v>
      </c>
      <c r="D46" s="15" t="str">
        <f>IF(ISERROR(VLOOKUP(C46,Cadastro!$D$3:$E$20,2,0)),"",(VLOOKUP(C46,Cadastro!$D$3:$E$20,2,0)))</f>
        <v>Norberto</v>
      </c>
      <c r="E46" s="1" t="s">
        <v>99</v>
      </c>
      <c r="F46" s="19">
        <v>19</v>
      </c>
      <c r="G46" s="1" t="s">
        <v>49</v>
      </c>
      <c r="H46" s="1"/>
      <c r="K46" s="15">
        <v>43534</v>
      </c>
      <c r="L46" s="41"/>
      <c r="M46" s="1"/>
      <c r="N46" s="1"/>
      <c r="O46" s="19"/>
    </row>
    <row r="47" spans="2:15" hidden="1">
      <c r="B47" s="15">
        <v>43542</v>
      </c>
      <c r="C47" s="1">
        <v>9</v>
      </c>
      <c r="D47" s="15" t="str">
        <f>IF(ISERROR(VLOOKUP(C47,Cadastro!$D$3:$E$20,2,0)),"",(VLOOKUP(C47,Cadastro!$D$3:$E$20,2,0)))</f>
        <v>Norberto</v>
      </c>
      <c r="E47" s="1" t="s">
        <v>98</v>
      </c>
      <c r="F47" s="19">
        <v>62.24</v>
      </c>
      <c r="G47" s="1"/>
      <c r="H47" s="1"/>
      <c r="J47" s="1" t="s">
        <v>103</v>
      </c>
      <c r="L47" s="41"/>
      <c r="M47" s="1"/>
      <c r="N47" s="1"/>
      <c r="O47" s="19"/>
    </row>
    <row r="48" spans="2:15" hidden="1">
      <c r="B48" s="15">
        <v>43549</v>
      </c>
      <c r="C48" s="1">
        <v>9</v>
      </c>
      <c r="D48" s="15" t="str">
        <f>IF(ISERROR(VLOOKUP(C48,Cadastro!$D$3:$E$20,2,0)),"",(VLOOKUP(C48,Cadastro!$D$3:$E$20,2,0)))</f>
        <v>Norberto</v>
      </c>
      <c r="E48" s="1" t="s">
        <v>95</v>
      </c>
      <c r="F48" s="19">
        <v>340</v>
      </c>
      <c r="G48" s="1"/>
      <c r="H48" s="1"/>
      <c r="I48" s="1" t="s">
        <v>103</v>
      </c>
      <c r="L48" s="41"/>
      <c r="M48" s="1"/>
      <c r="N48" s="1"/>
      <c r="O48" s="19"/>
    </row>
    <row r="49" spans="2:15" hidden="1">
      <c r="B49" s="15">
        <v>43551</v>
      </c>
      <c r="C49" s="1">
        <v>9</v>
      </c>
      <c r="D49" s="15" t="str">
        <f>IF(ISERROR(VLOOKUP(C49,Cadastro!$D$3:$E$20,2,0)),"",(VLOOKUP(C49,Cadastro!$D$3:$E$20,2,0)))</f>
        <v>Norberto</v>
      </c>
      <c r="E49" s="1" t="s">
        <v>97</v>
      </c>
      <c r="F49" s="19">
        <v>60</v>
      </c>
      <c r="G49" s="1"/>
      <c r="H49" s="1"/>
      <c r="J49" s="1" t="s">
        <v>103</v>
      </c>
      <c r="L49" s="41"/>
      <c r="M49" s="1"/>
      <c r="N49" s="1"/>
      <c r="O49" s="19"/>
    </row>
    <row r="50" spans="2:15">
      <c r="B50" s="15">
        <v>43565</v>
      </c>
      <c r="C50" s="1">
        <v>9</v>
      </c>
      <c r="D50" s="15" t="str">
        <f>IF(ISERROR(VLOOKUP(C50,Cadastro!$D$3:$E$20,2,0)),"",(VLOOKUP(C50,Cadastro!$D$3:$E$20,2,0)))</f>
        <v>Norberto</v>
      </c>
      <c r="E50" s="1" t="s">
        <v>50</v>
      </c>
      <c r="F50" s="19">
        <v>6</v>
      </c>
      <c r="G50" s="1" t="s">
        <v>49</v>
      </c>
      <c r="H50" s="1"/>
      <c r="K50" s="15">
        <v>43538</v>
      </c>
      <c r="L50" s="41"/>
      <c r="M50" s="1"/>
      <c r="N50" s="1"/>
      <c r="O50" s="19"/>
    </row>
    <row r="51" spans="2:15" hidden="1">
      <c r="B51" s="1"/>
      <c r="C51" s="1"/>
      <c r="D51" s="15" t="str">
        <f>IF(ISERROR(VLOOKUP(C51,Cadastro!$D$3:$E$20,2,0)),"",(VLOOKUP(C51,Cadastro!$D$3:$E$20,2,0)))</f>
        <v/>
      </c>
      <c r="E51" s="1"/>
      <c r="F51" s="19"/>
      <c r="G51" s="1"/>
      <c r="H51" s="1"/>
      <c r="L51" s="41"/>
      <c r="M51" s="1"/>
      <c r="N51" s="1"/>
      <c r="O51" s="19"/>
    </row>
    <row r="52" spans="2:15" hidden="1">
      <c r="B52" s="1"/>
      <c r="C52" s="1"/>
      <c r="D52" s="15" t="str">
        <f>IF(ISERROR(VLOOKUP(C52,Cadastro!$D$3:$E$20,2,0)),"",(VLOOKUP(C52,Cadastro!$D$3:$E$20,2,0)))</f>
        <v/>
      </c>
      <c r="E52" s="1"/>
      <c r="F52" s="19"/>
      <c r="G52" s="1"/>
      <c r="H52" s="1"/>
      <c r="L52" s="41"/>
      <c r="M52" s="1"/>
      <c r="N52" s="1"/>
      <c r="O52" s="19"/>
    </row>
    <row r="53" spans="2:15" hidden="1">
      <c r="B53" s="1"/>
      <c r="C53" s="1"/>
      <c r="D53" s="15" t="str">
        <f>IF(ISERROR(VLOOKUP(C53,Cadastro!$D$3:$E$20,2,0)),"",(VLOOKUP(C53,Cadastro!$D$3:$E$20,2,0)))</f>
        <v/>
      </c>
      <c r="E53" s="1"/>
      <c r="F53" s="19"/>
      <c r="G53" s="1"/>
      <c r="H53" s="1"/>
      <c r="L53" s="41"/>
      <c r="M53" s="1"/>
      <c r="N53" s="1"/>
      <c r="O53" s="19"/>
    </row>
    <row r="54" spans="2:15" hidden="1">
      <c r="B54" s="1"/>
      <c r="C54" s="1"/>
      <c r="D54" s="15" t="str">
        <f>IF(ISERROR(VLOOKUP(C54,Cadastro!$D$3:$E$20,2,0)),"",(VLOOKUP(C54,Cadastro!$D$3:$E$20,2,0)))</f>
        <v/>
      </c>
      <c r="E54" s="1"/>
      <c r="F54" s="19"/>
      <c r="G54" s="1"/>
      <c r="H54" s="1"/>
      <c r="L54" s="41"/>
      <c r="M54" s="1"/>
      <c r="N54" s="1"/>
      <c r="O54" s="19"/>
    </row>
    <row r="55" spans="2:15" hidden="1">
      <c r="B55" s="1"/>
      <c r="C55" s="1"/>
      <c r="D55" s="15" t="str">
        <f>IF(ISERROR(VLOOKUP(C55,Cadastro!$D$3:$E$20,2,0)),"",(VLOOKUP(C55,Cadastro!$D$3:$E$20,2,0)))</f>
        <v/>
      </c>
      <c r="E55" s="1"/>
      <c r="F55" s="19"/>
      <c r="G55" s="1"/>
      <c r="H55" s="1"/>
      <c r="L55" s="41"/>
      <c r="M55" s="1"/>
      <c r="N55" s="1"/>
      <c r="O55" s="19"/>
    </row>
    <row r="56" spans="2:15" hidden="1">
      <c r="B56" s="1"/>
      <c r="C56" s="1"/>
      <c r="D56" s="15" t="str">
        <f>IF(ISERROR(VLOOKUP(C56,Cadastro!$D$3:$E$20,2,0)),"",(VLOOKUP(C56,Cadastro!$D$3:$E$20,2,0)))</f>
        <v/>
      </c>
      <c r="E56" s="1"/>
      <c r="F56" s="19"/>
      <c r="G56" s="1"/>
      <c r="H56" s="1"/>
      <c r="L56" s="41"/>
      <c r="M56" s="1"/>
      <c r="N56" s="1"/>
      <c r="O56" s="19"/>
    </row>
    <row r="57" spans="2:15" hidden="1">
      <c r="B57" s="1"/>
      <c r="C57" s="1"/>
      <c r="D57" s="15" t="str">
        <f>IF(ISERROR(VLOOKUP(C57,Cadastro!$D$3:$E$20,2,0)),"",(VLOOKUP(C57,Cadastro!$D$3:$E$20,2,0)))</f>
        <v/>
      </c>
      <c r="E57" s="1"/>
      <c r="F57" s="19"/>
      <c r="G57" s="1"/>
      <c r="H57" s="1"/>
      <c r="L57" s="41"/>
      <c r="M57" s="1"/>
      <c r="N57" s="1"/>
      <c r="O57" s="19"/>
    </row>
    <row r="58" spans="2:15" hidden="1">
      <c r="B58" s="1"/>
      <c r="C58" s="1"/>
      <c r="D58" s="15" t="str">
        <f>IF(ISERROR(VLOOKUP(C58,Cadastro!$D$3:$E$20,2,0)),"",(VLOOKUP(C58,Cadastro!$D$3:$E$20,2,0)))</f>
        <v/>
      </c>
      <c r="E58" s="1"/>
      <c r="F58" s="19"/>
      <c r="G58" s="1"/>
      <c r="H58" s="1"/>
      <c r="L58" s="41"/>
      <c r="M58" s="1"/>
      <c r="N58" s="1"/>
      <c r="O58" s="19"/>
    </row>
    <row r="59" spans="2:15" hidden="1">
      <c r="B59" s="1"/>
      <c r="C59" s="1"/>
      <c r="D59" s="15" t="str">
        <f>IF(ISERROR(VLOOKUP(C59,Cadastro!$D$3:$E$20,2,0)),"",(VLOOKUP(C59,Cadastro!$D$3:$E$20,2,0)))</f>
        <v/>
      </c>
      <c r="E59" s="1"/>
      <c r="F59" s="19"/>
      <c r="G59" s="1"/>
      <c r="H59" s="1"/>
      <c r="L59" s="41"/>
      <c r="M59" s="1"/>
      <c r="N59" s="1"/>
      <c r="O59" s="19"/>
    </row>
    <row r="60" spans="2:15" hidden="1">
      <c r="B60" s="1"/>
      <c r="C60" s="1"/>
      <c r="D60" s="15" t="str">
        <f>IF(ISERROR(VLOOKUP(C60,Cadastro!$D$3:$E$20,2,0)),"",(VLOOKUP(C60,Cadastro!$D$3:$E$20,2,0)))</f>
        <v/>
      </c>
      <c r="E60" s="1"/>
      <c r="F60" s="19"/>
      <c r="G60" s="1"/>
      <c r="H60" s="1"/>
      <c r="L60" s="41"/>
      <c r="M60" s="1"/>
      <c r="N60" s="1"/>
      <c r="O60" s="19"/>
    </row>
    <row r="61" spans="2:15" hidden="1">
      <c r="B61" s="1"/>
      <c r="C61" s="1"/>
      <c r="D61" s="15" t="str">
        <f>IF(ISERROR(VLOOKUP(C61,Cadastro!$D$3:$E$20,2,0)),"",(VLOOKUP(C61,Cadastro!$D$3:$E$20,2,0)))</f>
        <v/>
      </c>
      <c r="E61" s="1"/>
      <c r="F61" s="19"/>
      <c r="G61" s="1"/>
      <c r="H61" s="1"/>
      <c r="L61" s="41"/>
      <c r="M61" s="1"/>
      <c r="N61" s="1"/>
      <c r="O61" s="19"/>
    </row>
    <row r="62" spans="2:15" hidden="1">
      <c r="B62" s="1"/>
      <c r="C62" s="1"/>
      <c r="D62" s="15" t="str">
        <f>IF(ISERROR(VLOOKUP(C62,Cadastro!$D$3:$E$20,2,0)),"",(VLOOKUP(C62,Cadastro!$D$3:$E$20,2,0)))</f>
        <v/>
      </c>
      <c r="E62" s="1"/>
      <c r="F62" s="19"/>
      <c r="G62" s="1"/>
      <c r="H62" s="1"/>
      <c r="L62" s="41"/>
      <c r="M62" s="1"/>
      <c r="N62" s="1"/>
      <c r="O62" s="19"/>
    </row>
    <row r="63" spans="2:15" hidden="1">
      <c r="B63" s="1"/>
      <c r="C63" s="1"/>
      <c r="D63" s="15" t="str">
        <f>IF(ISERROR(VLOOKUP(C63,Cadastro!$D$3:$E$20,2,0)),"",(VLOOKUP(C63,Cadastro!$D$3:$E$20,2,0)))</f>
        <v/>
      </c>
      <c r="E63" s="1"/>
      <c r="F63" s="19"/>
      <c r="G63" s="1"/>
      <c r="H63" s="1"/>
      <c r="L63" s="41"/>
      <c r="M63" s="1"/>
      <c r="N63" s="1"/>
      <c r="O63" s="19"/>
    </row>
    <row r="64" spans="2:15" hidden="1">
      <c r="B64" s="1"/>
      <c r="C64" s="1"/>
      <c r="D64" s="15" t="str">
        <f>IF(ISERROR(VLOOKUP(C64,Cadastro!$D$3:$E$20,2,0)),"",(VLOOKUP(C64,Cadastro!$D$3:$E$20,2,0)))</f>
        <v/>
      </c>
      <c r="E64" s="1"/>
      <c r="F64" s="19"/>
      <c r="G64" s="1"/>
      <c r="H64" s="1"/>
      <c r="L64" s="41"/>
      <c r="M64" s="1"/>
      <c r="N64" s="1"/>
      <c r="O64" s="19"/>
    </row>
    <row r="65" spans="2:15" hidden="1">
      <c r="B65" s="1"/>
      <c r="C65" s="1"/>
      <c r="D65" s="15" t="str">
        <f>IF(ISERROR(VLOOKUP(C65,Cadastro!$D$3:$E$20,2,0)),"",(VLOOKUP(C65,Cadastro!$D$3:$E$20,2,0)))</f>
        <v/>
      </c>
      <c r="E65" s="1"/>
      <c r="F65" s="19"/>
      <c r="G65" s="1"/>
      <c r="H65" s="1"/>
      <c r="L65" s="41"/>
      <c r="M65" s="1"/>
      <c r="N65" s="1"/>
      <c r="O65" s="19"/>
    </row>
    <row r="66" spans="2:15" hidden="1">
      <c r="B66" s="1"/>
      <c r="C66" s="1"/>
      <c r="D66" s="15" t="str">
        <f>IF(ISERROR(VLOOKUP(C66,Cadastro!$D$3:$E$20,2,0)),"",(VLOOKUP(C66,Cadastro!$D$3:$E$20,2,0)))</f>
        <v/>
      </c>
      <c r="E66" s="1"/>
      <c r="F66" s="19"/>
      <c r="G66" s="1"/>
      <c r="H66" s="1"/>
      <c r="L66" s="41"/>
      <c r="M66" s="1"/>
      <c r="N66" s="1"/>
      <c r="O66" s="19"/>
    </row>
    <row r="67" spans="2:15" hidden="1">
      <c r="B67" s="1"/>
      <c r="C67" s="1"/>
      <c r="D67" s="15" t="str">
        <f>IF(ISERROR(VLOOKUP(C67,Cadastro!$D$3:$E$20,2,0)),"",(VLOOKUP(C67,Cadastro!$D$3:$E$20,2,0)))</f>
        <v/>
      </c>
      <c r="E67" s="1"/>
      <c r="F67" s="19"/>
      <c r="G67" s="1"/>
      <c r="H67" s="1"/>
      <c r="L67" s="41"/>
      <c r="M67" s="1"/>
      <c r="N67" s="1"/>
      <c r="O67" s="19"/>
    </row>
    <row r="68" spans="2:15" hidden="1">
      <c r="B68" s="1"/>
      <c r="C68" s="1"/>
      <c r="D68" s="15" t="str">
        <f>IF(ISERROR(VLOOKUP(C68,Cadastro!$D$3:$E$20,2,0)),"",(VLOOKUP(C68,Cadastro!$D$3:$E$20,2,0)))</f>
        <v/>
      </c>
      <c r="E68" s="1"/>
      <c r="F68" s="19"/>
      <c r="G68" s="1"/>
      <c r="H68" s="1"/>
      <c r="L68" s="41"/>
      <c r="M68" s="1"/>
      <c r="N68" s="1"/>
      <c r="O68" s="19"/>
    </row>
    <row r="69" spans="2:15" hidden="1">
      <c r="B69" s="1"/>
      <c r="C69" s="1"/>
      <c r="D69" s="15" t="str">
        <f>IF(ISERROR(VLOOKUP(C69,Cadastro!$D$3:$E$20,2,0)),"",(VLOOKUP(C69,Cadastro!$D$3:$E$20,2,0)))</f>
        <v/>
      </c>
      <c r="E69" s="1"/>
      <c r="F69" s="19"/>
      <c r="G69" s="1"/>
      <c r="H69" s="1"/>
      <c r="L69" s="41"/>
      <c r="M69" s="1"/>
      <c r="N69" s="1"/>
      <c r="O69" s="19"/>
    </row>
    <row r="70" spans="2:15" hidden="1">
      <c r="B70" s="1"/>
      <c r="C70" s="1"/>
      <c r="D70" s="15" t="str">
        <f>IF(ISERROR(VLOOKUP(C70,Cadastro!$D$3:$E$20,2,0)),"",(VLOOKUP(C70,Cadastro!$D$3:$E$20,2,0)))</f>
        <v/>
      </c>
      <c r="E70" s="1"/>
      <c r="F70" s="19"/>
      <c r="G70" s="1"/>
      <c r="H70" s="1"/>
      <c r="L70" s="41"/>
      <c r="M70" s="1"/>
      <c r="N70" s="1"/>
      <c r="O70" s="19"/>
    </row>
    <row r="71" spans="2:15" hidden="1">
      <c r="B71" s="1"/>
      <c r="C71" s="1"/>
      <c r="D71" s="15" t="str">
        <f>IF(ISERROR(VLOOKUP(C71,Cadastro!$D$3:$E$20,2,0)),"",(VLOOKUP(C71,Cadastro!$D$3:$E$20,2,0)))</f>
        <v/>
      </c>
      <c r="E71" s="1"/>
      <c r="F71" s="19"/>
      <c r="G71" s="1"/>
      <c r="H71" s="1"/>
      <c r="L71" s="41"/>
      <c r="M71" s="1"/>
      <c r="N71" s="1"/>
      <c r="O71" s="19"/>
    </row>
    <row r="72" spans="2:15" hidden="1">
      <c r="B72" s="1"/>
      <c r="C72" s="1"/>
      <c r="D72" s="15" t="str">
        <f>IF(ISERROR(VLOOKUP(C72,Cadastro!$D$3:$E$20,2,0)),"",(VLOOKUP(C72,Cadastro!$D$3:$E$20,2,0)))</f>
        <v/>
      </c>
      <c r="E72" s="1"/>
      <c r="F72" s="19"/>
      <c r="G72" s="1"/>
      <c r="H72" s="1"/>
      <c r="L72" s="41"/>
      <c r="M72" s="1"/>
      <c r="N72" s="1"/>
      <c r="O72" s="19"/>
    </row>
    <row r="73" spans="2:15" hidden="1">
      <c r="B73" s="1"/>
      <c r="C73" s="1"/>
      <c r="D73" s="15" t="str">
        <f>IF(ISERROR(VLOOKUP(C73,Cadastro!$D$3:$E$20,2,0)),"",(VLOOKUP(C73,Cadastro!$D$3:$E$20,2,0)))</f>
        <v/>
      </c>
      <c r="E73" s="1"/>
      <c r="F73" s="19"/>
      <c r="G73" s="1"/>
      <c r="H73" s="1"/>
      <c r="L73" s="41"/>
      <c r="M73" s="1"/>
      <c r="N73" s="1"/>
      <c r="O73" s="19"/>
    </row>
    <row r="74" spans="2:15" hidden="1">
      <c r="B74" s="1"/>
      <c r="C74" s="1"/>
      <c r="D74" s="15" t="str">
        <f>IF(ISERROR(VLOOKUP(C74,Cadastro!$D$3:$E$20,2,0)),"",(VLOOKUP(C74,Cadastro!$D$3:$E$20,2,0)))</f>
        <v/>
      </c>
      <c r="E74" s="1"/>
      <c r="F74" s="19"/>
      <c r="G74" s="1"/>
      <c r="H74" s="1"/>
      <c r="L74" s="41"/>
      <c r="M74" s="1"/>
      <c r="N74" s="1"/>
      <c r="O74" s="19"/>
    </row>
    <row r="75" spans="2:15" hidden="1">
      <c r="B75" s="1"/>
      <c r="C75" s="1"/>
      <c r="D75" s="15" t="str">
        <f>IF(ISERROR(VLOOKUP(C75,Cadastro!$D$3:$E$20,2,0)),"",(VLOOKUP(C75,Cadastro!$D$3:$E$20,2,0)))</f>
        <v/>
      </c>
      <c r="E75" s="1"/>
      <c r="F75" s="19"/>
      <c r="G75" s="1"/>
      <c r="H75" s="1"/>
      <c r="L75" s="41"/>
      <c r="M75" s="1"/>
      <c r="N75" s="1"/>
      <c r="O75" s="19"/>
    </row>
    <row r="76" spans="2:15" hidden="1">
      <c r="B76" s="1"/>
      <c r="C76" s="1"/>
      <c r="D76" s="15" t="str">
        <f>IF(ISERROR(VLOOKUP(C76,Cadastro!$D$3:$E$20,2,0)),"",(VLOOKUP(C76,Cadastro!$D$3:$E$20,2,0)))</f>
        <v/>
      </c>
      <c r="E76" s="1"/>
      <c r="F76" s="19"/>
      <c r="G76" s="1"/>
      <c r="H76" s="1"/>
      <c r="L76" s="41"/>
      <c r="M76" s="1"/>
      <c r="N76" s="1"/>
      <c r="O76" s="19"/>
    </row>
    <row r="77" spans="2:15" hidden="1">
      <c r="B77" s="1"/>
      <c r="C77" s="1"/>
      <c r="D77" s="15" t="str">
        <f>IF(ISERROR(VLOOKUP(C77,Cadastro!$D$3:$E$20,2,0)),"",(VLOOKUP(C77,Cadastro!$D$3:$E$20,2,0)))</f>
        <v/>
      </c>
      <c r="E77" s="1"/>
      <c r="F77" s="19"/>
      <c r="G77" s="1"/>
      <c r="H77" s="1"/>
      <c r="L77" s="41"/>
      <c r="M77" s="1"/>
      <c r="N77" s="1"/>
      <c r="O77" s="19"/>
    </row>
    <row r="78" spans="2:15" hidden="1">
      <c r="B78" s="1"/>
      <c r="C78" s="1"/>
      <c r="D78" s="15" t="str">
        <f>IF(ISERROR(VLOOKUP(C78,Cadastro!$D$3:$E$20,2,0)),"",(VLOOKUP(C78,Cadastro!$D$3:$E$20,2,0)))</f>
        <v/>
      </c>
      <c r="E78" s="1"/>
      <c r="F78" s="19"/>
      <c r="G78" s="1"/>
      <c r="H78" s="1"/>
      <c r="L78" s="41"/>
      <c r="M78" s="1"/>
      <c r="N78" s="1"/>
      <c r="O78" s="19"/>
    </row>
    <row r="79" spans="2:15" hidden="1">
      <c r="B79" s="1"/>
      <c r="C79" s="1"/>
      <c r="D79" s="15" t="str">
        <f>IF(ISERROR(VLOOKUP(C79,Cadastro!$D$3:$E$20,2,0)),"",(VLOOKUP(C79,Cadastro!$D$3:$E$20,2,0)))</f>
        <v/>
      </c>
      <c r="E79" s="1"/>
      <c r="F79" s="19"/>
      <c r="G79" s="1"/>
      <c r="H79" s="1"/>
      <c r="L79" s="41"/>
      <c r="M79" s="1"/>
      <c r="N79" s="1"/>
      <c r="O79" s="19"/>
    </row>
    <row r="80" spans="2:15" hidden="1">
      <c r="B80" s="1"/>
      <c r="C80" s="1"/>
      <c r="D80" s="15" t="str">
        <f>IF(ISERROR(VLOOKUP(C80,Cadastro!$D$3:$E$20,2,0)),"",(VLOOKUP(C80,Cadastro!$D$3:$E$20,2,0)))</f>
        <v/>
      </c>
      <c r="E80" s="1"/>
      <c r="F80" s="19"/>
      <c r="G80" s="1"/>
      <c r="H80" s="1"/>
      <c r="L80" s="41"/>
      <c r="M80" s="1"/>
      <c r="N80" s="1"/>
      <c r="O80" s="19"/>
    </row>
    <row r="81" spans="2:15" hidden="1">
      <c r="B81" s="1"/>
      <c r="C81" s="1"/>
      <c r="D81" s="15" t="str">
        <f>IF(ISERROR(VLOOKUP(C81,Cadastro!$D$3:$E$20,2,0)),"",(VLOOKUP(C81,Cadastro!$D$3:$E$20,2,0)))</f>
        <v/>
      </c>
      <c r="E81" s="1"/>
      <c r="F81" s="19"/>
      <c r="G81" s="1"/>
      <c r="H81" s="1"/>
      <c r="L81" s="41"/>
      <c r="M81" s="1"/>
      <c r="N81" s="1"/>
      <c r="O81" s="19"/>
    </row>
    <row r="82" spans="2:15" hidden="1">
      <c r="B82" s="1"/>
      <c r="C82" s="1"/>
      <c r="D82" s="15" t="str">
        <f>IF(ISERROR(VLOOKUP(C82,Cadastro!$D$3:$E$20,2,0)),"",(VLOOKUP(C82,Cadastro!$D$3:$E$20,2,0)))</f>
        <v/>
      </c>
      <c r="E82" s="1"/>
      <c r="F82" s="19"/>
      <c r="G82" s="1"/>
      <c r="H82" s="1"/>
      <c r="L82" s="41"/>
      <c r="M82" s="1"/>
      <c r="N82" s="1"/>
      <c r="O82" s="19"/>
    </row>
    <row r="83" spans="2:15" hidden="1">
      <c r="B83" s="1"/>
      <c r="C83" s="1"/>
      <c r="D83" s="15" t="str">
        <f>IF(ISERROR(VLOOKUP(C83,Cadastro!$D$3:$E$20,2,0)),"",(VLOOKUP(C83,Cadastro!$D$3:$E$20,2,0)))</f>
        <v/>
      </c>
      <c r="E83" s="1"/>
      <c r="F83" s="19"/>
      <c r="G83" s="1"/>
      <c r="H83" s="1"/>
      <c r="L83" s="41"/>
      <c r="M83" s="1"/>
      <c r="N83" s="1"/>
      <c r="O83" s="19"/>
    </row>
    <row r="84" spans="2:15" hidden="1">
      <c r="B84" s="1"/>
      <c r="C84" s="1"/>
      <c r="D84" s="15" t="str">
        <f>IF(ISERROR(VLOOKUP(C84,Cadastro!$D$3:$E$20,2,0)),"",(VLOOKUP(C84,Cadastro!$D$3:$E$20,2,0)))</f>
        <v/>
      </c>
      <c r="E84" s="1"/>
      <c r="F84" s="19"/>
      <c r="G84" s="1"/>
      <c r="H84" s="1"/>
      <c r="L84" s="41"/>
      <c r="M84" s="1"/>
      <c r="N84" s="1"/>
      <c r="O84" s="19"/>
    </row>
    <row r="85" spans="2:15" hidden="1">
      <c r="B85" s="1"/>
      <c r="C85" s="1"/>
      <c r="D85" s="15" t="str">
        <f>IF(ISERROR(VLOOKUP(C85,Cadastro!$D$3:$E$20,2,0)),"",(VLOOKUP(C85,Cadastro!$D$3:$E$20,2,0)))</f>
        <v/>
      </c>
      <c r="E85" s="1"/>
      <c r="F85" s="19"/>
      <c r="G85" s="1"/>
      <c r="H85" s="1"/>
      <c r="L85" s="41"/>
      <c r="M85" s="1"/>
      <c r="N85" s="1"/>
      <c r="O85" s="19"/>
    </row>
    <row r="86" spans="2:15" hidden="1">
      <c r="B86" s="1"/>
      <c r="C86" s="1"/>
      <c r="D86" s="15" t="str">
        <f>IF(ISERROR(VLOOKUP(C86,Cadastro!$D$3:$E$20,2,0)),"",(VLOOKUP(C86,Cadastro!$D$3:$E$20,2,0)))</f>
        <v/>
      </c>
      <c r="E86" s="1"/>
      <c r="F86" s="19"/>
      <c r="G86" s="1"/>
      <c r="H86" s="1"/>
      <c r="L86" s="41"/>
      <c r="M86" s="1"/>
      <c r="N86" s="1"/>
      <c r="O86" s="19"/>
    </row>
    <row r="87" spans="2:15" hidden="1">
      <c r="B87" s="1"/>
      <c r="C87" s="1"/>
      <c r="D87" s="15" t="str">
        <f>IF(ISERROR(VLOOKUP(C87,Cadastro!$D$3:$E$20,2,0)),"",(VLOOKUP(C87,Cadastro!$D$3:$E$20,2,0)))</f>
        <v/>
      </c>
      <c r="E87" s="1"/>
      <c r="F87" s="19"/>
      <c r="G87" s="1"/>
      <c r="H87" s="1"/>
      <c r="L87" s="41"/>
      <c r="M87" s="1"/>
      <c r="N87" s="1"/>
      <c r="O87" s="19"/>
    </row>
    <row r="88" spans="2:15" hidden="1">
      <c r="B88" s="1"/>
      <c r="C88" s="1"/>
      <c r="D88" s="15" t="str">
        <f>IF(ISERROR(VLOOKUP(C88,Cadastro!$D$3:$E$20,2,0)),"",(VLOOKUP(C88,Cadastro!$D$3:$E$20,2,0)))</f>
        <v/>
      </c>
      <c r="E88" s="1"/>
      <c r="F88" s="19"/>
      <c r="G88" s="1"/>
      <c r="H88" s="1"/>
      <c r="L88" s="41"/>
      <c r="M88" s="1"/>
      <c r="N88" s="1"/>
      <c r="O88" s="19"/>
    </row>
    <row r="89" spans="2:15" hidden="1">
      <c r="B89" s="1"/>
      <c r="C89" s="1"/>
      <c r="D89" s="15" t="str">
        <f>IF(ISERROR(VLOOKUP(C89,Cadastro!$D$3:$E$20,2,0)),"",(VLOOKUP(C89,Cadastro!$D$3:$E$20,2,0)))</f>
        <v/>
      </c>
      <c r="E89" s="1"/>
      <c r="F89" s="19"/>
      <c r="G89" s="1"/>
      <c r="H89" s="1"/>
      <c r="L89" s="41"/>
      <c r="M89" s="1"/>
      <c r="N89" s="1"/>
      <c r="O89" s="19"/>
    </row>
    <row r="90" spans="2:15" hidden="1">
      <c r="B90" s="1"/>
      <c r="C90" s="1"/>
      <c r="D90" s="15" t="str">
        <f>IF(ISERROR(VLOOKUP(C90,Cadastro!$D$3:$E$20,2,0)),"",(VLOOKUP(C90,Cadastro!$D$3:$E$20,2,0)))</f>
        <v/>
      </c>
      <c r="E90" s="1"/>
      <c r="F90" s="19"/>
      <c r="G90" s="1"/>
      <c r="H90" s="1"/>
      <c r="L90" s="41"/>
      <c r="M90" s="1"/>
      <c r="N90" s="1"/>
      <c r="O90" s="19"/>
    </row>
    <row r="91" spans="2:15" hidden="1">
      <c r="B91" s="1"/>
      <c r="C91" s="1"/>
      <c r="D91" s="15" t="str">
        <f>IF(ISERROR(VLOOKUP(C91,Cadastro!$D$3:$E$20,2,0)),"",(VLOOKUP(C91,Cadastro!$D$3:$E$20,2,0)))</f>
        <v/>
      </c>
      <c r="E91" s="1"/>
      <c r="F91" s="19"/>
      <c r="G91" s="1"/>
      <c r="H91" s="1"/>
      <c r="L91" s="41"/>
      <c r="M91" s="1"/>
      <c r="N91" s="1"/>
      <c r="O91" s="19"/>
    </row>
    <row r="92" spans="2:15" hidden="1">
      <c r="B92" s="1"/>
      <c r="C92" s="1"/>
      <c r="D92" s="15" t="str">
        <f>IF(ISERROR(VLOOKUP(C92,Cadastro!$D$3:$E$20,2,0)),"",(VLOOKUP(C92,Cadastro!$D$3:$E$20,2,0)))</f>
        <v/>
      </c>
      <c r="E92" s="1"/>
      <c r="F92" s="19"/>
      <c r="G92" s="1"/>
      <c r="H92" s="1"/>
      <c r="L92" s="41"/>
      <c r="M92" s="1"/>
      <c r="N92" s="1"/>
      <c r="O92" s="19"/>
    </row>
    <row r="93" spans="2:15" hidden="1">
      <c r="B93" s="1"/>
      <c r="C93" s="1"/>
      <c r="D93" s="15" t="str">
        <f>IF(ISERROR(VLOOKUP(C93,Cadastro!$D$3:$E$20,2,0)),"",(VLOOKUP(C93,Cadastro!$D$3:$E$20,2,0)))</f>
        <v/>
      </c>
      <c r="E93" s="1"/>
      <c r="F93" s="19"/>
      <c r="G93" s="1"/>
      <c r="H93" s="1"/>
      <c r="L93" s="41"/>
      <c r="M93" s="1"/>
      <c r="N93" s="1"/>
      <c r="O93" s="19"/>
    </row>
    <row r="94" spans="2:15" hidden="1">
      <c r="B94" s="1"/>
      <c r="C94" s="1"/>
      <c r="D94" s="15" t="str">
        <f>IF(ISERROR(VLOOKUP(C94,Cadastro!$D$3:$E$20,2,0)),"",(VLOOKUP(C94,Cadastro!$D$3:$E$20,2,0)))</f>
        <v/>
      </c>
      <c r="E94" s="1"/>
      <c r="F94" s="19"/>
      <c r="G94" s="1"/>
      <c r="H94" s="1"/>
      <c r="L94" s="41"/>
      <c r="M94" s="1"/>
      <c r="N94" s="1"/>
      <c r="O94" s="19"/>
    </row>
    <row r="95" spans="2:15" hidden="1">
      <c r="B95" s="1"/>
      <c r="C95" s="1"/>
      <c r="D95" s="15" t="str">
        <f>IF(ISERROR(VLOOKUP(C95,Cadastro!$D$3:$E$20,2,0)),"",(VLOOKUP(C95,Cadastro!$D$3:$E$20,2,0)))</f>
        <v/>
      </c>
      <c r="E95" s="1"/>
      <c r="F95" s="19"/>
      <c r="G95" s="1"/>
      <c r="H95" s="1"/>
      <c r="L95" s="41"/>
      <c r="M95" s="1"/>
      <c r="N95" s="1"/>
      <c r="O95" s="19"/>
    </row>
    <row r="96" spans="2:15" hidden="1">
      <c r="B96" s="1"/>
      <c r="C96" s="1"/>
      <c r="D96" s="15" t="str">
        <f>IF(ISERROR(VLOOKUP(C96,Cadastro!$D$3:$E$20,2,0)),"",(VLOOKUP(C96,Cadastro!$D$3:$E$20,2,0)))</f>
        <v/>
      </c>
      <c r="E96" s="1"/>
      <c r="F96" s="19"/>
      <c r="G96" s="1"/>
      <c r="H96" s="1"/>
      <c r="L96" s="41"/>
      <c r="M96" s="1"/>
      <c r="N96" s="1"/>
      <c r="O96" s="19"/>
    </row>
    <row r="97" spans="2:15" hidden="1">
      <c r="B97" s="1"/>
      <c r="C97" s="1"/>
      <c r="D97" s="15" t="str">
        <f>IF(ISERROR(VLOOKUP(C97,Cadastro!$D$3:$E$20,2,0)),"",(VLOOKUP(C97,Cadastro!$D$3:$E$20,2,0)))</f>
        <v/>
      </c>
      <c r="E97" s="1"/>
      <c r="F97" s="19"/>
      <c r="G97" s="1"/>
      <c r="H97" s="1"/>
      <c r="L97" s="41"/>
      <c r="M97" s="1"/>
      <c r="N97" s="1"/>
      <c r="O97" s="19"/>
    </row>
    <row r="98" spans="2:15" hidden="1">
      <c r="B98" s="1"/>
      <c r="C98" s="1"/>
      <c r="D98" s="15" t="str">
        <f>IF(ISERROR(VLOOKUP(C98,Cadastro!$D$3:$E$20,2,0)),"",(VLOOKUP(C98,Cadastro!$D$3:$E$20,2,0)))</f>
        <v/>
      </c>
      <c r="E98" s="1"/>
      <c r="F98" s="19"/>
      <c r="G98" s="1"/>
      <c r="H98" s="1"/>
      <c r="L98" s="41"/>
      <c r="M98" s="1"/>
      <c r="N98" s="1"/>
      <c r="O98" s="19"/>
    </row>
    <row r="99" spans="2:15" hidden="1">
      <c r="B99" s="1"/>
      <c r="C99" s="1"/>
      <c r="D99" s="15" t="str">
        <f>IF(ISERROR(VLOOKUP(C99,Cadastro!$D$3:$E$20,2,0)),"",(VLOOKUP(C99,Cadastro!$D$3:$E$20,2,0)))</f>
        <v/>
      </c>
      <c r="E99" s="1"/>
      <c r="F99" s="19"/>
      <c r="G99" s="1"/>
      <c r="H99" s="1"/>
      <c r="L99" s="41"/>
      <c r="M99" s="1"/>
      <c r="N99" s="1"/>
      <c r="O99" s="19"/>
    </row>
    <row r="100" spans="2:15" hidden="1">
      <c r="B100" s="1"/>
      <c r="C100" s="1"/>
      <c r="D100" s="15" t="str">
        <f>IF(ISERROR(VLOOKUP(C100,Cadastro!$D$3:$E$20,2,0)),"",(VLOOKUP(C100,Cadastro!$D$3:$E$20,2,0)))</f>
        <v/>
      </c>
      <c r="E100" s="1"/>
      <c r="F100" s="19"/>
      <c r="G100" s="1"/>
      <c r="H100" s="1"/>
      <c r="L100" s="41"/>
      <c r="M100" s="1"/>
      <c r="N100" s="1"/>
      <c r="O100" s="19"/>
    </row>
    <row r="101" spans="2:15" hidden="1">
      <c r="B101" s="1"/>
      <c r="C101" s="1"/>
      <c r="D101" s="15" t="str">
        <f>IF(ISERROR(VLOOKUP(C101,Cadastro!$D$3:$E$20,2,0)),"",(VLOOKUP(C101,Cadastro!$D$3:$E$20,2,0)))</f>
        <v/>
      </c>
      <c r="E101" s="1"/>
      <c r="F101" s="19"/>
      <c r="G101" s="1"/>
      <c r="H101" s="1"/>
      <c r="L101" s="41"/>
      <c r="M101" s="1"/>
      <c r="N101" s="1"/>
      <c r="O101" s="19"/>
    </row>
    <row r="102" spans="2:15" hidden="1">
      <c r="B102" s="1"/>
      <c r="C102" s="1"/>
      <c r="D102" s="15" t="str">
        <f>IF(ISERROR(VLOOKUP(C102,Cadastro!$D$3:$E$20,2,0)),"",(VLOOKUP(C102,Cadastro!$D$3:$E$20,2,0)))</f>
        <v/>
      </c>
      <c r="E102" s="1"/>
      <c r="F102" s="19"/>
      <c r="G102" s="1"/>
      <c r="H102" s="1"/>
      <c r="L102" s="41"/>
      <c r="M102" s="1"/>
      <c r="N102" s="1"/>
      <c r="O102" s="19"/>
    </row>
    <row r="103" spans="2:15" hidden="1">
      <c r="B103" s="1"/>
      <c r="C103" s="1"/>
      <c r="D103" s="15" t="str">
        <f>IF(ISERROR(VLOOKUP(C103,Cadastro!$D$3:$E$20,2,0)),"",(VLOOKUP(C103,Cadastro!$D$3:$E$20,2,0)))</f>
        <v/>
      </c>
      <c r="E103" s="1"/>
      <c r="F103" s="19"/>
      <c r="G103" s="1"/>
      <c r="H103" s="1"/>
      <c r="L103" s="42"/>
      <c r="M103" s="1"/>
      <c r="N103" s="1"/>
      <c r="O103" s="19"/>
    </row>
  </sheetData>
  <mergeCells count="2">
    <mergeCell ref="B1:I1"/>
    <mergeCell ref="M1:O1"/>
  </mergeCells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29"/>
  <sheetViews>
    <sheetView workbookViewId="0"/>
  </sheetViews>
  <sheetFormatPr defaultRowHeight="14.4"/>
  <cols>
    <col min="1" max="1" width="1.33203125" customWidth="1"/>
    <col min="2" max="2" width="14.44140625" style="1" customWidth="1"/>
    <col min="3" max="3" width="12.33203125" style="1" customWidth="1"/>
    <col min="4" max="4" width="12.88671875" style="16" customWidth="1"/>
    <col min="5" max="5" width="13.5546875" style="16" customWidth="1"/>
    <col min="6" max="6" width="16" style="16" customWidth="1"/>
    <col min="7" max="7" width="12" style="16" customWidth="1"/>
    <col min="8" max="8" width="12.109375" style="16" customWidth="1"/>
    <col min="9" max="9" width="13.33203125" style="16" customWidth="1"/>
    <col min="10" max="10" width="11.88671875" style="16" customWidth="1"/>
    <col min="11" max="12" width="12.44140625" style="16" customWidth="1"/>
    <col min="13" max="13" width="12.6640625" style="16" customWidth="1"/>
    <col min="14" max="14" width="12.109375" style="16" customWidth="1"/>
    <col min="15" max="15" width="12" style="16" customWidth="1"/>
    <col min="16" max="16" width="12.5546875" style="16" customWidth="1"/>
  </cols>
  <sheetData>
    <row r="1" spans="2:16" s="1" customFormat="1" ht="15" thickBot="1">
      <c r="B1" s="20" t="s">
        <v>65</v>
      </c>
      <c r="C1" s="20" t="s">
        <v>66</v>
      </c>
      <c r="D1" s="26" t="s">
        <v>75</v>
      </c>
      <c r="E1" s="26" t="s">
        <v>76</v>
      </c>
      <c r="F1" s="26" t="s">
        <v>77</v>
      </c>
      <c r="G1" s="26" t="s">
        <v>78</v>
      </c>
      <c r="H1" s="26" t="s">
        <v>79</v>
      </c>
      <c r="I1" s="26" t="s">
        <v>80</v>
      </c>
      <c r="J1" s="26" t="s">
        <v>81</v>
      </c>
      <c r="K1" s="26" t="s">
        <v>82</v>
      </c>
      <c r="L1" s="26" t="s">
        <v>83</v>
      </c>
      <c r="M1" s="26" t="s">
        <v>84</v>
      </c>
      <c r="N1" s="26" t="s">
        <v>85</v>
      </c>
      <c r="O1" s="26" t="s">
        <v>86</v>
      </c>
      <c r="P1" s="26" t="s">
        <v>64</v>
      </c>
    </row>
    <row r="2" spans="2:16" ht="15.6" thickTop="1" thickBot="1">
      <c r="B2" s="24" t="s">
        <v>17</v>
      </c>
      <c r="C2" s="24" t="s">
        <v>8</v>
      </c>
      <c r="D2" s="27" t="s">
        <v>51</v>
      </c>
      <c r="E2" s="27" t="s">
        <v>52</v>
      </c>
      <c r="F2" s="27" t="s">
        <v>73</v>
      </c>
      <c r="G2" s="27" t="s">
        <v>74</v>
      </c>
      <c r="H2" s="27" t="s">
        <v>53</v>
      </c>
      <c r="I2" s="27" t="s">
        <v>54</v>
      </c>
      <c r="J2" s="27" t="s">
        <v>55</v>
      </c>
      <c r="K2" s="27" t="s">
        <v>56</v>
      </c>
      <c r="L2" s="27" t="s">
        <v>57</v>
      </c>
      <c r="M2" s="27" t="s">
        <v>58</v>
      </c>
      <c r="N2" s="27" t="s">
        <v>59</v>
      </c>
      <c r="O2" s="27" t="s">
        <v>60</v>
      </c>
      <c r="P2" s="27"/>
    </row>
    <row r="3" spans="2:16" ht="15" thickTop="1">
      <c r="B3" s="21">
        <v>1</v>
      </c>
      <c r="C3" s="1" t="str">
        <f>IF(ISERROR(VLOOKUP(B3,Cadastro!$D$3:$E$10,2,0)),"",(VLOOKUP(B3,Cadastro!$D$3:$E$10,2,0)))</f>
        <v>Mãe</v>
      </c>
      <c r="D3" s="16">
        <f>SUMPRODUCT((MONTH(Entradas!$C$3:$C$79)=1)*(Entradas!$G$3:$G$79)*(Entradas!$F$3:$F$79="Mãe"))</f>
        <v>0</v>
      </c>
      <c r="E3" s="16">
        <f>SUMPRODUCT((MONTH(Entradas!$C$3:$C$79)=2)*(Entradas!$G$3:$G$79)*(Entradas!$F$3:$F$79="Mãe"))</f>
        <v>0</v>
      </c>
      <c r="F3" s="16">
        <f>SUMPRODUCT((MONTH(Entradas!$C$3:$C$79)=3)*(Entradas!$G$3:$G$79)*(Entradas!$F$3:$F$79="Mãe"))</f>
        <v>151.29</v>
      </c>
      <c r="G3" s="16">
        <f>SUMPRODUCT((MONTH(Entradas!$C$3:$C$79)=4)*(Entradas!$G$3:$G$79)*(Entradas!$F$3:$F$79="Mãe"))</f>
        <v>0</v>
      </c>
      <c r="H3" s="16">
        <f>SUMPRODUCT((MONTH(Entradas!$C$3:$C$79)=5)*(Entradas!$G$3:$G$79)*(Entradas!$F$3:$F$79="Mãe"))</f>
        <v>0</v>
      </c>
      <c r="I3" s="16">
        <f>SUMPRODUCT((MONTH(Entradas!$C$3:$C$79)=6)*(Entradas!$G$3:$G$79)*(Entradas!$F$3:$F$79="Mãe"))</f>
        <v>0</v>
      </c>
      <c r="J3" s="16">
        <f>SUMPRODUCT((MONTH(Entradas!$C$3:$C$79)=7)*(Entradas!$G$3:$G$79)*(Entradas!$F$3:$F$79="Mãe"))</f>
        <v>0</v>
      </c>
      <c r="K3" s="16">
        <f>SUMPRODUCT((MONTH(Entradas!$C$3:$C$79)=8)*(Entradas!$G$3:$G$79)*(Entradas!$F$3:$F$79="Mãe"))</f>
        <v>0</v>
      </c>
      <c r="L3" s="16">
        <f>SUMPRODUCT((MONTH(Entradas!$C$3:$C$79)=9)*(Entradas!$G$3:$G$79)*(Entradas!$F$3:$F$79="Mãe"))</f>
        <v>0</v>
      </c>
      <c r="M3" s="16">
        <f>SUMPRODUCT((MONTH(Entradas!$C$3:$C$79)=10)*(Entradas!$G$3:$G$79)*(Entradas!$F$3:$F$79="Mãe"))</f>
        <v>0</v>
      </c>
      <c r="N3" s="16">
        <f>SUMPRODUCT((MONTH(Entradas!$C$3:$C$79)=11)*(Entradas!$G$3:$G$79)*(Entradas!$F$3:$F$79="Mãe"))</f>
        <v>0</v>
      </c>
      <c r="O3" s="16">
        <f>SUMPRODUCT((MONTH(Entradas!$C$3:$C$79)=12)*(Entradas!$G$3:$G$79)*(Entradas!$F$3:$F$79="Mãe"))</f>
        <v>0</v>
      </c>
      <c r="P3" s="16">
        <f>SUM(D3:O3)</f>
        <v>151.29</v>
      </c>
    </row>
    <row r="4" spans="2:16">
      <c r="B4" s="21">
        <v>2</v>
      </c>
      <c r="C4" s="1" t="str">
        <f>IF(ISERROR(VLOOKUP(B4,Cadastro!$D$3:$E$10,2,0)),"",(VLOOKUP(B4,Cadastro!$D$3:$E$10,2,0)))</f>
        <v>Paulo</v>
      </c>
      <c r="D4" s="28">
        <f>SUMPRODUCT((MONTH(Entradas!$C$3:$C$79)=1)*(Entradas!$G$3:$G$79)*(Entradas!$F$3:$F$79="Paulo"))</f>
        <v>0</v>
      </c>
      <c r="E4" s="28">
        <f>SUMPRODUCT((MONTH(Entradas!$C$3:$C$79)=2)*(Entradas!$G$3:$G$79)*(Entradas!$F$3:$F$79="Paulo"))</f>
        <v>0</v>
      </c>
      <c r="F4" s="28">
        <f>SUMPRODUCT((MONTH(Entradas!$C$3:$C$79)=3)*(Entradas!$G$3:$G$79)*(Entradas!$F$3:$F$79="Paulo"))</f>
        <v>0</v>
      </c>
      <c r="G4" s="28">
        <f>SUMPRODUCT((MONTH(Entradas!$C$3:$C$79)=4)*(Entradas!$G$3:$G$79)*(Entradas!$F$3:$F$79="Paulo"))</f>
        <v>0</v>
      </c>
      <c r="H4" s="28">
        <f>SUMPRODUCT((MONTH(Entradas!$C$3:$C$79)=5)*(Entradas!$G$3:$G$79)*(Entradas!$F$3:$F$79="Paulo"))</f>
        <v>0</v>
      </c>
      <c r="I4" s="28">
        <f>SUMPRODUCT((MONTH(Entradas!$C$3:$C$79)=6)*(Entradas!$G$3:$G$79)*(Entradas!$F$3:$F$79="Paulo"))</f>
        <v>0</v>
      </c>
      <c r="J4" s="28">
        <f>SUMPRODUCT((MONTH(Entradas!$C$3:$C$79)=7)*(Entradas!$G$3:$G$79)*(Entradas!$F$3:$F$79="Paulo"))</f>
        <v>0</v>
      </c>
      <c r="K4" s="28">
        <f>SUMPRODUCT((MONTH(Entradas!$C$3:$C$79)=8)*(Entradas!$G$3:$G$79)*(Entradas!$F$3:$F$79="Paulo"))</f>
        <v>0</v>
      </c>
      <c r="L4" s="28">
        <f>SUMPRODUCT((MONTH(Entradas!$C$3:$C$79)=9)*(Entradas!$G$3:$G$79)*(Entradas!$F$3:$F$79="Paulo"))</f>
        <v>0</v>
      </c>
      <c r="M4" s="28">
        <f>SUMPRODUCT((MONTH(Entradas!$C$3:$C$79)=10)*(Entradas!$G$3:$G$79)*(Entradas!$F$3:$F$79="Paulo"))</f>
        <v>0</v>
      </c>
      <c r="N4" s="28">
        <f>SUMPRODUCT((MONTH(Entradas!$C$3:$C$79)=11)*(Entradas!$G$3:$G$79)*(Entradas!$F$3:$F$79="Paulo"))</f>
        <v>0</v>
      </c>
      <c r="O4" s="28">
        <f>SUMPRODUCT((MONTH(Entradas!$C$3:$C$79)=12)*(Entradas!$G$3:$G$79)*(Entradas!$F$3:$F$79="Paulo"))</f>
        <v>0</v>
      </c>
      <c r="P4" s="16">
        <f t="shared" ref="P4:P17" si="0">SUM(D4:O4)</f>
        <v>0</v>
      </c>
    </row>
    <row r="5" spans="2:16">
      <c r="B5" s="21">
        <v>3</v>
      </c>
      <c r="C5" s="1" t="str">
        <f>IF(ISERROR(VLOOKUP(B5,Cadastro!$D$3:$E$10,2,0)),"",(VLOOKUP(B5,Cadastro!$D$3:$E$10,2,0)))</f>
        <v>Irmã</v>
      </c>
      <c r="D5" s="16">
        <f>SUMPRODUCT((MONTH(Entradas!$C$3:$C$79)=1)*(Entradas!$G$3:$G$79)*(Entradas!$F$3:$F$79="Irmã"))</f>
        <v>0</v>
      </c>
      <c r="E5" s="16">
        <f>SUMPRODUCT((MONTH(Entradas!$C$3:$C$79)=2)*(Entradas!$G$3:$G$79)*(Entradas!$F$3:$F$79="Irmã"))</f>
        <v>0</v>
      </c>
      <c r="F5" s="16">
        <f>SUMPRODUCT((MONTH(Entradas!$C$3:$C$79)=3)*(Entradas!$G$3:$G$79)*(Entradas!$F$3:$F$79="Irmã"))</f>
        <v>120</v>
      </c>
      <c r="G5" s="16">
        <f>SUMPRODUCT((MONTH(Entradas!$C$3:$C$79)=4)*(Entradas!$G$3:$G$79)*(Entradas!$F$3:$F$79="Irmã"))</f>
        <v>0</v>
      </c>
      <c r="H5" s="16">
        <f>SUMPRODUCT((MONTH(Entradas!$C$3:$C$79)=5)*(Entradas!$G$3:$G$79)*(Entradas!$F$3:$F$79="Irmã"))</f>
        <v>0</v>
      </c>
      <c r="I5" s="16">
        <f>SUMPRODUCT((MONTH(Entradas!$C$3:$C$79)=6)*(Entradas!$G$3:$G$79)*(Entradas!$F$3:$F$79="Irmã"))</f>
        <v>0</v>
      </c>
      <c r="J5" s="16">
        <f>SUMPRODUCT((MONTH(Entradas!$C$3:$C$79)=7)*(Entradas!$G$3:$G$79)*(Entradas!$F$3:$F$79="Irmã"))</f>
        <v>0</v>
      </c>
      <c r="K5" s="16">
        <f>SUMPRODUCT((MONTH(Entradas!$C$3:$C$79)=8)*(Entradas!$G$3:$G$79)*(Entradas!$F$3:$F$79="Irmã"))</f>
        <v>0</v>
      </c>
      <c r="L5" s="16">
        <f>SUMPRODUCT((MONTH(Entradas!$C$3:$C$79)=9)*(Entradas!$G$3:$G$79)*(Entradas!$F$3:$F$79="Irmã"))</f>
        <v>0</v>
      </c>
      <c r="M5" s="16">
        <f>SUMPRODUCT((MONTH(Entradas!$C$3:$C$79)=10)*(Entradas!$G$3:$G$79)*(Entradas!$F$3:$F$79="Irmã"))</f>
        <v>0</v>
      </c>
      <c r="N5" s="16">
        <f>SUMPRODUCT((MONTH(Entradas!$C$3:$C$79)=11)*(Entradas!$G$3:$G$79)*(Entradas!$F$3:$F$79="Irmã"))</f>
        <v>0</v>
      </c>
      <c r="O5" s="16">
        <f>SUMPRODUCT((MONTH(Entradas!$C$3:$C$79)=12)*(Entradas!$G$3:$G$79)*(Entradas!$F$3:$F$79="Irmã"))</f>
        <v>0</v>
      </c>
      <c r="P5" s="16">
        <f t="shared" si="0"/>
        <v>120</v>
      </c>
    </row>
    <row r="6" spans="2:16">
      <c r="B6" s="21">
        <v>4</v>
      </c>
      <c r="C6" s="1" t="str">
        <f>IF(ISERROR(VLOOKUP(B6,Cadastro!$D$3:$E$10,2,0)),"",(VLOOKUP(B6,Cadastro!$D$3:$E$10,2,0)))</f>
        <v>Dione</v>
      </c>
      <c r="D6" s="16">
        <f>SUMPRODUCT((MONTH(Entradas!$C$3:$C$79)=1)*(Entradas!$G$3:$G$79)*(Entradas!$F$3:$F$79="Dione"))</f>
        <v>0</v>
      </c>
      <c r="E6" s="16">
        <f>SUMPRODUCT((MONTH(Entradas!$C$3:$C$79)=2)*(Entradas!$G$3:$G$79)*(Entradas!$F$3:$F$79="Dione"))</f>
        <v>0</v>
      </c>
      <c r="F6" s="16">
        <f>SUMPRODUCT((MONTH(Entradas!$C$3:$C$79)=3)*(Entradas!$G$3:$G$79)*(Entradas!$F$3:$F$79="Dione"))</f>
        <v>0</v>
      </c>
      <c r="G6" s="16">
        <f>SUMPRODUCT((MONTH(Entradas!$C$3:$C$79)=4)*(Entradas!$G$3:$G$79)*(Entradas!$F$3:$F$79="Dione"))</f>
        <v>0</v>
      </c>
      <c r="H6" s="16">
        <f>SUMPRODUCT((MONTH(Entradas!$C$3:$C$79)=5)*(Entradas!$G$3:$G$79)*(Entradas!$F$3:$F$79="Dione"))</f>
        <v>0</v>
      </c>
      <c r="I6" s="16">
        <f>SUMPRODUCT((MONTH(Entradas!$C$3:$C$79)=6)*(Entradas!$G$3:$G$79)*(Entradas!$F$3:$F$79="Dione"))</f>
        <v>0</v>
      </c>
      <c r="J6" s="16">
        <f>SUMPRODUCT((MONTH(Entradas!$C$3:$C$79)=7)*(Entradas!$G$3:$G$79)*(Entradas!$F$3:$F$79="Dione"))</f>
        <v>0</v>
      </c>
      <c r="K6" s="16">
        <f>SUMPRODUCT((MONTH(Entradas!$C$3:$C$79)=8)*(Entradas!$G$3:$G$79)*(Entradas!$F$3:$F$79="Dione"))</f>
        <v>0</v>
      </c>
      <c r="L6" s="16">
        <f>SUMPRODUCT((MONTH(Entradas!$C$3:$C$79)=9)*(Entradas!$G$3:$G$79)*(Entradas!$F$3:$F$79="Dione"))</f>
        <v>0</v>
      </c>
      <c r="M6" s="16">
        <f>SUMPRODUCT((MONTH(Entradas!$C$3:$C$79)=10)*(Entradas!$G$3:$G$79)*(Entradas!$F$3:$F$79="Dione"))</f>
        <v>0</v>
      </c>
      <c r="N6" s="16">
        <f>SUMPRODUCT((MONTH(Entradas!$C$3:$C$79)=11)*(Entradas!$G$3:$G$79)*(Entradas!$F$3:$F$79="Dione"))</f>
        <v>0</v>
      </c>
      <c r="O6" s="16">
        <f>SUMPRODUCT((MONTH(Entradas!$C$3:$C$79)=12)*(Entradas!$G$3:$G$79)*(Entradas!$F$3:$F$79="Dione"))</f>
        <v>0</v>
      </c>
      <c r="P6" s="16">
        <f t="shared" si="0"/>
        <v>0</v>
      </c>
    </row>
    <row r="7" spans="2:16">
      <c r="B7" s="21">
        <v>5</v>
      </c>
      <c r="C7" s="1" t="str">
        <f>IF(ISERROR(VLOOKUP(B7,Cadastro!$D$3:$E$10,2,0)),"",(VLOOKUP(B7,Cadastro!$D$3:$E$10,2,0)))</f>
        <v>Patricia</v>
      </c>
      <c r="D7" s="16">
        <f>SUMPRODUCT((MONTH(Entradas!$C$3:$C$79)=1)*(Entradas!$G$3:$G$79)*(Entradas!$F$3:$F$79="Patricia"))</f>
        <v>0</v>
      </c>
      <c r="E7" s="16">
        <f>SUMPRODUCT((MONTH(Entradas!$C$3:$C$79)=2)*(Entradas!$G$3:$G$79)*(Entradas!$F$3:$F$79="Patricia"))</f>
        <v>0</v>
      </c>
      <c r="F7" s="16">
        <f>SUMPRODUCT((MONTH(Entradas!$C$3:$C$79)=3)*(Entradas!$G$3:$G$79)*(Entradas!$F$3:$F$79="Patricia"))</f>
        <v>0</v>
      </c>
      <c r="G7" s="16">
        <f>SUMPRODUCT((MONTH(Entradas!$C$3:$C$79)=4)*(Entradas!$G$3:$G$79)*(Entradas!$F$3:$F$79="Patricia"))</f>
        <v>0</v>
      </c>
      <c r="H7" s="16">
        <f>SUMPRODUCT((MONTH(Entradas!$C$3:$C$79)=5)*(Entradas!$G$3:$G$79)*(Entradas!$F$3:$F$79="Patricia"))</f>
        <v>0</v>
      </c>
      <c r="I7" s="16">
        <f>SUMPRODUCT((MONTH(Entradas!$C$3:$C$79)=6)*(Entradas!$G$3:$G$79)*(Entradas!$F$3:$F$79="Patricia"))</f>
        <v>0</v>
      </c>
      <c r="J7" s="16">
        <f>SUMPRODUCT((MONTH(Entradas!$C$3:$C$79)=7)*(Entradas!$G$3:$G$79)*(Entradas!$F$3:$F$79="Patricia"))</f>
        <v>0</v>
      </c>
      <c r="K7" s="16">
        <f>SUMPRODUCT((MONTH(Entradas!$C$3:$C$79)=8)*(Entradas!$G$3:$G$79)*(Entradas!$F$3:$F$79="Patricia"))</f>
        <v>0</v>
      </c>
      <c r="L7" s="16">
        <f>SUMPRODUCT((MONTH(Entradas!$C$3:$C$79)=9)*(Entradas!$G$3:$G$79)*(Entradas!$F$3:$F$79="Patricia"))</f>
        <v>0</v>
      </c>
      <c r="M7" s="16">
        <f>SUMPRODUCT((MONTH(Entradas!$C$3:$C$79)=10)*(Entradas!$G$3:$G$79)*(Entradas!$F$3:$F$79="Patricia"))</f>
        <v>0</v>
      </c>
      <c r="N7" s="16">
        <f>SUMPRODUCT((MONTH(Entradas!$C$3:$C$79)=11)*(Entradas!$G$3:$G$79)*(Entradas!$F$3:$F$79="Patricia"))</f>
        <v>0</v>
      </c>
      <c r="O7" s="16">
        <f>SUMPRODUCT((MONTH(Entradas!$C$3:$C$79)=12)*(Entradas!$G$3:$G$79)*(Entradas!$F$3:$F$79="Patricia"))</f>
        <v>0</v>
      </c>
      <c r="P7" s="16">
        <f t="shared" si="0"/>
        <v>0</v>
      </c>
    </row>
    <row r="8" spans="2:16">
      <c r="B8" s="21">
        <v>6</v>
      </c>
      <c r="C8" s="1" t="str">
        <f>IF(ISERROR(VLOOKUP(B8,Cadastro!$D$3:$E$10,2,0)),"",(VLOOKUP(B8,Cadastro!$D$3:$E$10,2,0)))</f>
        <v>Allan</v>
      </c>
      <c r="D8" s="16">
        <f>SUMPRODUCT((MONTH(Entradas!$C$3:$C$79)=1)*(Entradas!$G$3:$G$79)*(Entradas!$F$3:$F$79="Allan"))</f>
        <v>0</v>
      </c>
      <c r="E8" s="16">
        <f>SUMPRODUCT((MONTH(Entradas!$C$3:$C$79)=2)*(Entradas!$G$3:$G$79)*(Entradas!$F$3:$F$79="Allan"))</f>
        <v>0</v>
      </c>
      <c r="F8" s="16">
        <f>SUMPRODUCT((MONTH(Entradas!$C$3:$C$79)=3)*(Entradas!$G$3:$G$79)*(Entradas!$F$3:$F$79="Allan"))</f>
        <v>163.14000000000001</v>
      </c>
      <c r="G8" s="16">
        <f>SUMPRODUCT((MONTH(Entradas!$C$3:$C$79)=4)*(Entradas!$G$3:$G$79)*(Entradas!$F$3:$F$79="Allan"))</f>
        <v>0</v>
      </c>
      <c r="H8" s="16">
        <f>SUMPRODUCT((MONTH(Entradas!$C$3:$C$79)=5)*(Entradas!$G$3:$G$79)*(Entradas!$F$3:$F$79="Allan"))</f>
        <v>0</v>
      </c>
      <c r="I8" s="16">
        <f>SUMPRODUCT((MONTH(Entradas!$C$3:$C$79)=6)*(Entradas!$G$3:$G$79)*(Entradas!$F$3:$F$79="Allan"))</f>
        <v>0</v>
      </c>
      <c r="J8" s="16">
        <f>SUMPRODUCT((MONTH(Entradas!$C$3:$C$79)=7)*(Entradas!$G$3:$G$79)*(Entradas!$F$3:$F$79="Allan"))</f>
        <v>0</v>
      </c>
      <c r="K8" s="16">
        <f>SUMPRODUCT((MONTH(Entradas!$C$3:$C$79)=8)*(Entradas!$G$3:$G$79)*(Entradas!$F$3:$F$79="Allan"))</f>
        <v>0</v>
      </c>
      <c r="L8" s="16">
        <f>SUMPRODUCT((MONTH(Entradas!$C$3:$C$79)=9)*(Entradas!$G$3:$G$79)*(Entradas!$F$3:$F$79="Allan"))</f>
        <v>0</v>
      </c>
      <c r="M8" s="16">
        <f>SUMPRODUCT((MONTH(Entradas!$C$3:$C$79)=10)*(Entradas!$G$3:$G$79)*(Entradas!$F$3:$F$79="Allan"))</f>
        <v>0</v>
      </c>
      <c r="N8" s="16">
        <f>SUMPRODUCT((MONTH(Entradas!$C$3:$C$79)=11)*(Entradas!$G$3:$G$79)*(Entradas!$F$3:$F$79="Allan"))</f>
        <v>0</v>
      </c>
      <c r="O8" s="16">
        <f>SUMPRODUCT((MONTH(Entradas!$C$3:$C$79)=12)*(Entradas!$G$3:$G$79)*(Entradas!$F$3:$F$79="Allan"))</f>
        <v>0</v>
      </c>
      <c r="P8" s="16">
        <f t="shared" si="0"/>
        <v>163.14000000000001</v>
      </c>
    </row>
    <row r="9" spans="2:16">
      <c r="B9" s="21">
        <v>7</v>
      </c>
      <c r="C9" s="1" t="str">
        <f>IF(ISERROR(VLOOKUP(B9,Cadastro!$D$3:$E$10,2,0)),"",(VLOOKUP(B9,Cadastro!$D$3:$E$10,2,0)))</f>
        <v>Fernandinho</v>
      </c>
      <c r="D9" s="16">
        <f>SUMPRODUCT((MONTH(Entradas!$C$3:$C$79)=1)*(Entradas!$G$3:$G$79)*(Entradas!$F$3:$F$79="Fernandinho"))</f>
        <v>0</v>
      </c>
      <c r="E9" s="16">
        <f>SUMPRODUCT((MONTH(Entradas!$C$3:$C$79)=2)*(Entradas!$G$3:$G$79)*(Entradas!$F$3:$F$79="Fernandinho"))</f>
        <v>0</v>
      </c>
      <c r="F9" s="16">
        <f>SUMPRODUCT((MONTH(Entradas!$C$3:$C$79)=3)*(Entradas!$G$3:$G$79)*(Entradas!$F$3:$F$79="Fernandinho"))</f>
        <v>220</v>
      </c>
      <c r="G9" s="16">
        <f>SUMPRODUCT((MONTH(Entradas!$C$3:$C$79)=4)*(Entradas!$G$3:$G$79)*(Entradas!$F$3:$F$79="Fernandinho"))</f>
        <v>0</v>
      </c>
      <c r="H9" s="16">
        <f>SUMPRODUCT((MONTH(Entradas!$C$3:$C$79)=5)*(Entradas!$G$3:$G$79)*(Entradas!$F$3:$F$79="Fernandinho"))</f>
        <v>0</v>
      </c>
      <c r="I9" s="16">
        <f>SUMPRODUCT((MONTH(Entradas!$C$3:$C$79)=6)*(Entradas!$G$3:$G$79)*(Entradas!$F$3:$F$79="Fernandinho"))</f>
        <v>0</v>
      </c>
      <c r="J9" s="16">
        <f>SUMPRODUCT((MONTH(Entradas!$C$3:$C$79)=7)*(Entradas!$G$3:$G$79)*(Entradas!$F$3:$F$79="Fernandinho"))</f>
        <v>0</v>
      </c>
      <c r="K9" s="16">
        <f>SUMPRODUCT((MONTH(Entradas!$C$3:$C$79)=8)*(Entradas!$G$3:$G$79)*(Entradas!$F$3:$F$79="Fernandinho"))</f>
        <v>0</v>
      </c>
      <c r="L9" s="16">
        <f>SUMPRODUCT((MONTH(Entradas!$C$3:$C$79)=9)*(Entradas!$G$3:$G$79)*(Entradas!$F$3:$F$79="Fernandinho"))</f>
        <v>0</v>
      </c>
      <c r="M9" s="16">
        <f>SUMPRODUCT((MONTH(Entradas!$C$3:$C$79)=10)*(Entradas!$G$3:$G$79)*(Entradas!$F$3:$F$79="Fernandinho"))</f>
        <v>0</v>
      </c>
      <c r="N9" s="16">
        <f>SUMPRODUCT((MONTH(Entradas!$C$3:$C$79)=11)*(Entradas!$G$3:$G$79)*(Entradas!$F$3:$F$79="Fernandinho"))</f>
        <v>0</v>
      </c>
      <c r="O9" s="16">
        <f>SUMPRODUCT((MONTH(Entradas!$C$3:$C$79)=12)*(Entradas!$G$3:$G$79)*(Entradas!$F$3:$F$79="Fernandinho"))</f>
        <v>0</v>
      </c>
      <c r="P9" s="16">
        <f t="shared" si="0"/>
        <v>220</v>
      </c>
    </row>
    <row r="10" spans="2:16">
      <c r="B10" s="21">
        <v>8</v>
      </c>
      <c r="C10" s="1" t="str">
        <f>IF(ISERROR(VLOOKUP(B10,Cadastro!$D$3:$E$10,2,0)),"",(VLOOKUP(B10,Cadastro!$D$3:$E$10,2,0)))</f>
        <v>Iva</v>
      </c>
      <c r="D10" s="16">
        <f>SUMPRODUCT((MONTH(Entradas!$C$3:$C$79)=1)*(Entradas!$G$3:$G$79)*(Entradas!$F$3:$F$79="Iva"))</f>
        <v>0</v>
      </c>
      <c r="E10" s="16">
        <f>SUMPRODUCT((MONTH(Entradas!$C$3:$C$79)=2)*(Entradas!$G$3:$G$79)*(Entradas!$F$3:$F$79="Iva"))</f>
        <v>0</v>
      </c>
      <c r="F10" s="16">
        <f>SUMPRODUCT((MONTH(Entradas!$C$3:$C$79)=3)*(Entradas!$G$3:$G$79)*(Entradas!$F$3:$F$79="Iva"))</f>
        <v>0</v>
      </c>
      <c r="G10" s="16">
        <f>SUMPRODUCT((MONTH(Entradas!$C$3:$C$79)=4)*(Entradas!$G$3:$G$79)*(Entradas!$F$3:$F$79="Iva"))</f>
        <v>0</v>
      </c>
      <c r="H10" s="16">
        <f>SUMPRODUCT((MONTH(Entradas!$C$3:$C$79)=5)*(Entradas!$G$3:$G$79)*(Entradas!$F$3:$F$79="Iva"))</f>
        <v>0</v>
      </c>
      <c r="I10" s="16">
        <f>SUMPRODUCT((MONTH(Entradas!$C$3:$C$79)=6)*(Entradas!$G$3:$G$79)*(Entradas!$F$3:$F$79="Iva"))</f>
        <v>0</v>
      </c>
      <c r="J10" s="16">
        <f>SUMPRODUCT((MONTH(Entradas!$C$3:$C$79)=7)*(Entradas!$G$3:$G$79)*(Entradas!$F$3:$F$79="Iva"))</f>
        <v>0</v>
      </c>
      <c r="K10" s="16">
        <f>SUMPRODUCT((MONTH(Entradas!$C$3:$C$79)=8)*(Entradas!$G$3:$G$79)*(Entradas!$F$3:$F$79="Iva"))</f>
        <v>0</v>
      </c>
      <c r="L10" s="16">
        <f>SUMPRODUCT((MONTH(Entradas!$C$3:$C$79)=9)*(Entradas!$G$3:$G$79)*(Entradas!$F$3:$F$79="Iva"))</f>
        <v>0</v>
      </c>
      <c r="M10" s="16">
        <f>SUMPRODUCT((MONTH(Entradas!$C$3:$C$79)=10)*(Entradas!$G$3:$G$79)*(Entradas!$F$3:$F$79="Iva"))</f>
        <v>0</v>
      </c>
      <c r="N10" s="16">
        <f>SUMPRODUCT((MONTH(Entradas!$C$3:$C$79)=11)*(Entradas!$G$3:$G$79)*(Entradas!$F$3:$F$79="Iva"))</f>
        <v>0</v>
      </c>
      <c r="O10" s="16">
        <f>SUMPRODUCT((MONTH(Entradas!$C$3:$C$79)=12)*(Entradas!$G$3:$G$79)*(Entradas!$F$3:$F$79="Iva"))</f>
        <v>0</v>
      </c>
      <c r="P10" s="16">
        <f t="shared" si="0"/>
        <v>0</v>
      </c>
    </row>
    <row r="11" spans="2:16">
      <c r="B11" s="21">
        <v>9</v>
      </c>
      <c r="C11" s="1" t="str">
        <f>IF(ISERROR(VLOOKUP(B11,Cadastro!$D$3:$E$20,2,0)),"",(VLOOKUP(B11,Cadastro!$D$3:$E$20,2,0)))</f>
        <v>Norberto</v>
      </c>
      <c r="D11" s="16">
        <f>SUMPRODUCT((MONTH('Minhas Entradas e Saidas'!$B$4:$B$103)=1)*('Minhas Entradas e Saidas'!$F$4:$F$103)*('Minhas Entradas e Saidas'!$D$4:$D$103="Norberto"))</f>
        <v>0</v>
      </c>
      <c r="E11" s="16">
        <f>SUMPRODUCT((MONTH('Minhas Entradas e Saidas'!$B$4:$B$103)=2)*('Minhas Entradas e Saidas'!$F$4:$F$103)*('Minhas Entradas e Saidas'!$D$4:$D$103="Norberto"))</f>
        <v>0</v>
      </c>
      <c r="F11" s="16">
        <f>SUMPRODUCT((MONTH('Minhas Entradas e Saidas'!$B$4:$B$103)=3)*('Minhas Entradas e Saidas'!$F$4:$F$103)*('Minhas Entradas e Saidas'!$D$4:$D$103="Norberto"))</f>
        <v>1626.92</v>
      </c>
      <c r="G11" s="16">
        <f>SUMPRODUCT((MONTH('Minhas Entradas e Saidas'!$B$4:$B$103)=4)*('Minhas Entradas e Saidas'!$F$4:$F$103)*('Minhas Entradas e Saidas'!$D$4:$D$103="Norberto"))</f>
        <v>258.37000000000006</v>
      </c>
      <c r="H11" s="16">
        <f>SUMPRODUCT((MONTH('Minhas Entradas e Saidas'!$B$4:$B$103)=5)*('Minhas Entradas e Saidas'!$F$4:$F$103)*('Minhas Entradas e Saidas'!$D$4:$D$103="Norberto"))</f>
        <v>0</v>
      </c>
      <c r="I11" s="16">
        <f>SUMPRODUCT((MONTH('Minhas Entradas e Saidas'!$B$4:$B$103)=6)*('Minhas Entradas e Saidas'!$F$4:$F$103)*('Minhas Entradas e Saidas'!$D$4:$D$103="Norberto"))</f>
        <v>0</v>
      </c>
      <c r="J11" s="16">
        <f>SUMPRODUCT((MONTH('Minhas Entradas e Saidas'!$B$4:$B$103)=7)*('Minhas Entradas e Saidas'!$F$4:$F$103)*('Minhas Entradas e Saidas'!$D$4:$D$103="Norberto"))</f>
        <v>0</v>
      </c>
      <c r="K11" s="16">
        <f>SUMPRODUCT((MONTH('Minhas Entradas e Saidas'!$B$4:$B$103)=8)*('Minhas Entradas e Saidas'!$F$4:$F$103)*('Minhas Entradas e Saidas'!$D$4:$D$103="Norberto"))</f>
        <v>0</v>
      </c>
      <c r="L11" s="16">
        <f>SUMPRODUCT((MONTH('Minhas Entradas e Saidas'!$B$4:$B$103)=9)*('Minhas Entradas e Saidas'!$F$4:$F$103)*('Minhas Entradas e Saidas'!$D$4:$D$103="Norberto"))</f>
        <v>0</v>
      </c>
      <c r="M11" s="16">
        <f>SUMPRODUCT((MONTH('Minhas Entradas e Saidas'!$B$4:$B$103)=10)*('Minhas Entradas e Saidas'!$F$4:$F$103)*('Minhas Entradas e Saidas'!$D$4:$D$103="Norberto"))</f>
        <v>0</v>
      </c>
      <c r="N11" s="16">
        <f>SUMPRODUCT((MONTH('Minhas Entradas e Saidas'!$B$4:$B$103)=11)*('Minhas Entradas e Saidas'!$F$4:$F$103)*('Minhas Entradas e Saidas'!$D$4:$D$103="Norberto"))</f>
        <v>0</v>
      </c>
      <c r="O11" s="16">
        <f>SUMPRODUCT((MONTH('Minhas Entradas e Saidas'!$B$4:$B$103)=12)*('Minhas Entradas e Saidas'!$F$4:$F$103)*('Minhas Entradas e Saidas'!$D$4:$D$103="Norberto"))</f>
        <v>0</v>
      </c>
      <c r="P11" s="16">
        <f t="shared" si="0"/>
        <v>1885.2900000000002</v>
      </c>
    </row>
    <row r="12" spans="2:16">
      <c r="B12" s="21">
        <v>10</v>
      </c>
      <c r="P12" s="16">
        <f t="shared" si="0"/>
        <v>0</v>
      </c>
    </row>
    <row r="13" spans="2:16">
      <c r="B13" s="21">
        <v>11</v>
      </c>
      <c r="C13" s="1" t="str">
        <f>IF(ISERROR(VLOOKUP(B13,Cadastro!$D$3:$E$10,2,0)),"",(VLOOKUP(B13,Cadastro!$D$3:$E$10,2,0)))</f>
        <v/>
      </c>
      <c r="P13" s="16">
        <f t="shared" si="0"/>
        <v>0</v>
      </c>
    </row>
    <row r="14" spans="2:16">
      <c r="B14" s="21">
        <v>12</v>
      </c>
      <c r="C14" s="1" t="str">
        <f>IF(ISERROR(VLOOKUP(B14,Cadastro!$D$3:$E$10,2,0)),"",(VLOOKUP(B14,Cadastro!$D$3:$E$10,2,0)))</f>
        <v/>
      </c>
      <c r="P14" s="16">
        <f t="shared" si="0"/>
        <v>0</v>
      </c>
    </row>
    <row r="15" spans="2:16">
      <c r="B15" s="21">
        <v>13</v>
      </c>
      <c r="C15" s="1" t="str">
        <f>IF(ISERROR(VLOOKUP(B15,Cadastro!$D$3:$E$10,2,0)),"",(VLOOKUP(B15,Cadastro!$D$3:$E$10,2,0)))</f>
        <v/>
      </c>
      <c r="P15" s="16">
        <f t="shared" si="0"/>
        <v>0</v>
      </c>
    </row>
    <row r="16" spans="2:16">
      <c r="B16" s="21">
        <v>14</v>
      </c>
      <c r="C16" s="1" t="str">
        <f>IF(ISERROR(VLOOKUP(B16,Cadastro!$D$3:$E$10,2,0)),"",(VLOOKUP(B16,Cadastro!$D$3:$E$10,2,0)))</f>
        <v/>
      </c>
      <c r="P16" s="16">
        <f t="shared" si="0"/>
        <v>0</v>
      </c>
    </row>
    <row r="17" spans="2:16">
      <c r="B17" s="21">
        <v>15</v>
      </c>
      <c r="P17" s="16">
        <f t="shared" si="0"/>
        <v>0</v>
      </c>
    </row>
    <row r="18" spans="2:16">
      <c r="B18" s="22" t="s">
        <v>121</v>
      </c>
      <c r="C18" s="22"/>
      <c r="D18" s="29">
        <f>SUM(SUMPRODUCT((MONTH('Minhas Entradas e Saidas'!$M$3:$M$103)=1)*('Minhas Entradas e Saidas'!$O$3:$O$103)),SUMPRODUCT((MONTH(Entradas!$C$3:$C$79)=1)*(Entradas!$G$3:$G$79)))</f>
        <v>0</v>
      </c>
      <c r="E18" s="29">
        <f>SUM(SUMPRODUCT((MONTH('Minhas Entradas e Saidas'!$M$3:$M$103)=2)*('Minhas Entradas e Saidas'!$O$3:$O$103)),SUMPRODUCT((MONTH(Entradas!$C$3:$C$79)=2)*(Entradas!$G$3:$G$79)))</f>
        <v>0</v>
      </c>
      <c r="F18" s="29">
        <f>SUM(SUMPRODUCT((MONTH('Minhas Entradas e Saidas'!$M$3:$M$103)=3)*('Minhas Entradas e Saidas'!$O$3:$O$103)),SUMPRODUCT((MONTH(Entradas!$C$3:$C$79)=3)*(Entradas!$G$3:$G$79)))</f>
        <v>2268.75</v>
      </c>
      <c r="G18" s="29">
        <f>SUM(SUMPRODUCT((MONTH('Minhas Entradas e Saidas'!$M$3:$M$103)=4)*('Minhas Entradas e Saidas'!$O$3:$O$103)),SUMPRODUCT((MONTH(Entradas!$C$3:$C$79)=4)*(Entradas!$G$3:$G$79)))</f>
        <v>0</v>
      </c>
      <c r="H18" s="29">
        <f>SUM(SUMPRODUCT((MONTH('Minhas Entradas e Saidas'!$M$3:$M$103)=5)*('Minhas Entradas e Saidas'!$O$3:$O$103)),SUMPRODUCT((MONTH(Entradas!$C$3:$C$79)=5)*(Entradas!$G$3:$G$79)))</f>
        <v>0</v>
      </c>
      <c r="I18" s="29">
        <f>SUM(SUMPRODUCT((MONTH('Minhas Entradas e Saidas'!$M$3:$M$103)=6)*('Minhas Entradas e Saidas'!$O$3:$O$103)),SUMPRODUCT((MONTH(Entradas!$C$3:$C$79)=6)*(Entradas!$G$3:$G$79)))</f>
        <v>0</v>
      </c>
      <c r="J18" s="29">
        <f>SUM(SUMPRODUCT((MONTH('Minhas Entradas e Saidas'!$M$3:$M$103)=7)*('Minhas Entradas e Saidas'!$O$3:$O$103)),SUMPRODUCT((MONTH(Entradas!$C$3:$C$79)=7)*(Entradas!$G$3:$G$79)))</f>
        <v>0</v>
      </c>
      <c r="K18" s="29">
        <f>SUM(SUMPRODUCT((MONTH('Minhas Entradas e Saidas'!$M$3:$M$103)=8)*('Minhas Entradas e Saidas'!$O$3:$O$103)),SUMPRODUCT((MONTH(Entradas!$C$3:$C$79)=8)*(Entradas!$G$3:$G$79)))</f>
        <v>0</v>
      </c>
      <c r="L18" s="29">
        <f>SUM(SUMPRODUCT((MONTH('Minhas Entradas e Saidas'!$M$3:$M$103)=9)*('Minhas Entradas e Saidas'!$O$3:$O$103)),SUMPRODUCT((MONTH(Entradas!$C$3:$C$79)=9)*(Entradas!$G$3:$G$79)))</f>
        <v>0</v>
      </c>
      <c r="M18" s="29">
        <f>SUM(SUMPRODUCT((MONTH('Minhas Entradas e Saidas'!$M$3:$M$103)=10)*('Minhas Entradas e Saidas'!$O$3:$O$103)),SUMPRODUCT((MONTH(Entradas!$C$3:$C$79)=10)*(Entradas!$G$3:$G$79)))</f>
        <v>0</v>
      </c>
      <c r="N18" s="29">
        <f>SUM(SUMPRODUCT((MONTH('Minhas Entradas e Saidas'!$M$3:$M$103)=11)*('Minhas Entradas e Saidas'!$O$3:$O$103)),SUMPRODUCT((MONTH(Entradas!$C$3:$C$79)=11)*(Entradas!$G$3:$G$79)))</f>
        <v>0</v>
      </c>
      <c r="O18" s="29">
        <f>SUM(SUMPRODUCT((MONTH('Minhas Entradas e Saidas'!$M$3:$M$103)=12)*('Minhas Entradas e Saidas'!$O$3:$O$103)),SUMPRODUCT((MONTH(Entradas!$C$3:$C$79)=12)*(Entradas!$G$3:$G$79)))</f>
        <v>0</v>
      </c>
      <c r="P18" s="29">
        <f>SUM(D18:O18)</f>
        <v>2268.75</v>
      </c>
    </row>
    <row r="19" spans="2:16">
      <c r="B19" s="33" t="s">
        <v>122</v>
      </c>
      <c r="C19" s="33"/>
      <c r="D19" s="34">
        <f>SUM(SUMPRODUCT((MONTH('Minhas Entradas e Saidas'!$B$4:$B$103)=1)*('Minhas Entradas e Saidas'!$F$4:$F$103)),-D11)</f>
        <v>0</v>
      </c>
      <c r="E19" s="34">
        <f>SUM(SUMPRODUCT((MONTH('Minhas Entradas e Saidas'!$B$4:$B$103)=2)*('Minhas Entradas e Saidas'!$F$4:$F$103)),-E11)</f>
        <v>0</v>
      </c>
      <c r="F19" s="34">
        <f>SUM(SUMPRODUCT((MONTH('Minhas Entradas e Saidas'!$B$4:$B$103)=3)*('Minhas Entradas e Saidas'!$F$4:$F$103)),300)</f>
        <v>2810.58</v>
      </c>
      <c r="G19" s="34">
        <f>SUM(SUMPRODUCT((MONTH('Minhas Entradas e Saidas'!$B$4:$B$103)=4)*('Minhas Entradas e Saidas'!$F$4:$F$103)))</f>
        <v>287.37000000000006</v>
      </c>
      <c r="H19" s="34">
        <f>SUM(SUMPRODUCT((MONTH('Minhas Entradas e Saidas'!$B$4:$B$103)=5)*('Minhas Entradas e Saidas'!$F$4:$F$103)))</f>
        <v>0</v>
      </c>
      <c r="I19" s="34">
        <f>SUM(SUMPRODUCT((MONTH('Minhas Entradas e Saidas'!$B$4:$B$103)=6)*('Minhas Entradas e Saidas'!$F$4:$F$103)))</f>
        <v>0</v>
      </c>
      <c r="J19" s="34">
        <f>SUM(SUMPRODUCT((MONTH('Minhas Entradas e Saidas'!$B$4:$B$103)=7)*('Minhas Entradas e Saidas'!$F$4:$F$103)))</f>
        <v>0</v>
      </c>
      <c r="K19" s="34">
        <f>SUM(SUMPRODUCT((MONTH('Minhas Entradas e Saidas'!$B$4:$B$103)=8)*('Minhas Entradas e Saidas'!$F$4:$F$103)))</f>
        <v>0</v>
      </c>
      <c r="L19" s="34">
        <f>SUM(SUMPRODUCT((MONTH('Minhas Entradas e Saidas'!$B$4:$B$103)=9)*('Minhas Entradas e Saidas'!$F$4:$F$103)))</f>
        <v>0</v>
      </c>
      <c r="M19" s="34">
        <f>SUM(SUMPRODUCT((MONTH('Minhas Entradas e Saidas'!$B$4:$B$103)=10)*('Minhas Entradas e Saidas'!$F$4:$F$103)))</f>
        <v>0</v>
      </c>
      <c r="N19" s="34">
        <f>SUM(SUMPRODUCT((MONTH('Minhas Entradas e Saidas'!$B$4:$B$103)=11)*('Minhas Entradas e Saidas'!$F$4:$F$103)))</f>
        <v>0</v>
      </c>
      <c r="O19" s="34">
        <f>SUM(SUMPRODUCT((MONTH('Minhas Entradas e Saidas'!$B$4:$B$103)=12)*('Minhas Entradas e Saidas'!$F$4:$F$103)))</f>
        <v>0</v>
      </c>
      <c r="P19" s="34">
        <f>SUM(D19:O19)</f>
        <v>3097.95</v>
      </c>
    </row>
    <row r="20" spans="2:16">
      <c r="B20" s="23" t="s">
        <v>14</v>
      </c>
      <c r="C20" s="2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>
      <c r="B21" s="21" t="s">
        <v>61</v>
      </c>
      <c r="D21" s="16">
        <f>SUMPRODUCT((MONTH('Minhas Entradas e Saidas'!$B$3:$B$103)=1)*('Minhas Entradas e Saidas'!$F$3:$F$103)*('Minhas Entradas e Saidas'!$G$3:$G$103="Credicard"))</f>
        <v>0</v>
      </c>
      <c r="E21" s="16">
        <f>SUMPRODUCT((MONTH('Minhas Entradas e Saidas'!$B$3:$B$103)=2)*('Minhas Entradas e Saidas'!$F$3:$F$103)*('Minhas Entradas e Saidas'!$G$3:$G$103="Credicard"))</f>
        <v>0</v>
      </c>
      <c r="F21" s="16">
        <f>SUMPRODUCT((MONTH('Minhas Entradas e Saidas'!$B$3:$B$103)=3)*('Minhas Entradas e Saidas'!$F$3:$F$103)*('Minhas Entradas e Saidas'!$G$3:$G$103="Credicard"))</f>
        <v>0</v>
      </c>
      <c r="G21" s="16">
        <f>SUMPRODUCT((MONTH('Minhas Entradas e Saidas'!$B$3:$B$103)=4)*('Minhas Entradas e Saidas'!$F$3:$F$103)*('Minhas Entradas e Saidas'!$G$3:$G$103="Credicard"))</f>
        <v>23</v>
      </c>
      <c r="H21" s="16">
        <f>SUMPRODUCT((MONTH('Minhas Entradas e Saidas'!$B$3:$B$103)=5)*('Minhas Entradas e Saidas'!$F$3:$F$103)*('Minhas Entradas e Saidas'!$G$3:$G$103="Credicard"))</f>
        <v>0</v>
      </c>
      <c r="I21" s="16">
        <f>SUMPRODUCT((MONTH('Minhas Entradas e Saidas'!$B$3:$B$103)=6)*('Minhas Entradas e Saidas'!$F$3:$F$103)*('Minhas Entradas e Saidas'!$G$3:$G$103="Credicard"))</f>
        <v>0</v>
      </c>
      <c r="J21" s="16">
        <f>SUMPRODUCT((MONTH('Minhas Entradas e Saidas'!$B$3:$B$103)=7)*('Minhas Entradas e Saidas'!$F$3:$F$103)*('Minhas Entradas e Saidas'!$G$3:$G$103="Credicard"))</f>
        <v>0</v>
      </c>
      <c r="K21" s="16">
        <f>SUM(SUMPRODUCT((MONTH(Entradas!$C$3:$C$79)=8)*(Entradas!$G$3:$G$79)*(Entradas!$H$3:$H$79="Credicard")),SUMPRODUCT((MONTH('Minhas Entradas e Saidas'!$B$3:$B$103)=8)*('Minhas Entradas e Saidas'!$F$3:$F$103)*('Minhas Entradas e Saidas'!$G$3:$G$103="Credicard")*('Minhas Entradas e Saidas'!$D$3:$D$103="Norberto")))</f>
        <v>0</v>
      </c>
      <c r="L21" s="16">
        <f>SUMPRODUCT((MONTH('Minhas Entradas e Saidas'!$B$3:$B$103)=9)*('Minhas Entradas e Saidas'!$F$3:$F$103)*('Minhas Entradas e Saidas'!$G$3:$G$103="Credicard"))</f>
        <v>0</v>
      </c>
      <c r="M21" s="16">
        <f>SUMPRODUCT((MONTH('Minhas Entradas e Saidas'!$B$3:$B$103)=10)*('Minhas Entradas e Saidas'!$F$3:$F$103)*('Minhas Entradas e Saidas'!$G$3:$G$103="Credicard"))</f>
        <v>0</v>
      </c>
      <c r="N21" s="16">
        <f>SUMPRODUCT((MONTH('Minhas Entradas e Saidas'!$B$3:$B$103)=11)*('Minhas Entradas e Saidas'!$F$3:$F$103)*('Minhas Entradas e Saidas'!$G$3:$G$103="Credicard"))</f>
        <v>0</v>
      </c>
      <c r="O21" s="16">
        <f>SUMPRODUCT((MONTH('Minhas Entradas e Saidas'!$B$3:$B$103)=12)*('Minhas Entradas e Saidas'!$F$3:$F$103)*('Minhas Entradas e Saidas'!$G$3:$G$103="Credicard"))</f>
        <v>0</v>
      </c>
      <c r="P21" s="16">
        <f>SUM(D21:O21)</f>
        <v>23</v>
      </c>
    </row>
    <row r="22" spans="2:16">
      <c r="B22" s="21" t="s">
        <v>49</v>
      </c>
      <c r="D22" s="16">
        <f>SUMPRODUCT((MONTH('Minhas Entradas e Saidas'!$B$3:$B$103)=1)*('Minhas Entradas e Saidas'!$F$3:$F$103)*('Minhas Entradas e Saidas'!$G$3:$G$103="Inter"))</f>
        <v>0</v>
      </c>
      <c r="E22" s="16">
        <f>SUMPRODUCT((MONTH('Minhas Entradas e Saidas'!$B$3:$B$103)=2)*('Minhas Entradas e Saidas'!$F$3:$F$103)*('Minhas Entradas e Saidas'!$G$3:$G$103="Inter"))</f>
        <v>0</v>
      </c>
      <c r="F22" s="16">
        <f>SUMPRODUCT((MONTH('Minhas Entradas e Saidas'!$B$3:$B$103)=3)*('Minhas Entradas e Saidas'!$F$3:$F$103)*('Minhas Entradas e Saidas'!$G$3:$G$103="Inter"))</f>
        <v>631.62</v>
      </c>
      <c r="G22" s="16">
        <f>SUMPRODUCT((MONTH('Minhas Entradas e Saidas'!$B$3:$B$103)=4)*('Minhas Entradas e Saidas'!$F$3:$F$103)*('Minhas Entradas e Saidas'!$G$3:$G$103="Inter"))</f>
        <v>106.56</v>
      </c>
      <c r="H22" s="16">
        <f>SUMPRODUCT((MONTH('Minhas Entradas e Saidas'!$B$3:$B$103)=5)*('Minhas Entradas e Saidas'!$F$3:$F$103)*('Minhas Entradas e Saidas'!$G$3:$G$103="Inter"))</f>
        <v>0</v>
      </c>
      <c r="I22" s="16">
        <f>SUMPRODUCT((MONTH('Minhas Entradas e Saidas'!$B$3:$B$103)=6)*('Minhas Entradas e Saidas'!$F$3:$F$103)*('Minhas Entradas e Saidas'!$G$3:$G$103="Inter"))</f>
        <v>0</v>
      </c>
      <c r="J22" s="16">
        <f>SUMPRODUCT((MONTH('Minhas Entradas e Saidas'!$B$3:$B$103)=7)*('Minhas Entradas e Saidas'!$F$3:$F$103)*('Minhas Entradas e Saidas'!$G$3:$G$103="Inter"))</f>
        <v>0</v>
      </c>
      <c r="K22" s="16">
        <f>SUM(SUMPRODUCT((MONTH(Entradas!$C$3:$C$79)=8)*(Entradas!$G$3:$G$79)*(Entradas!$H$3:$H$79="Inter")),SUMPRODUCT((MONTH('Minhas Entradas e Saidas'!$B$3:$B$103)=8)*('Minhas Entradas e Saidas'!$F$3:$F$103)*('Minhas Entradas e Saidas'!$G$3:$G$103="Inter")*('Minhas Entradas e Saidas'!$D$3:$D$103="Norberto")))</f>
        <v>0</v>
      </c>
      <c r="L22" s="16">
        <f>SUMPRODUCT((MONTH('Minhas Entradas e Saidas'!$B$3:$B$103)=9)*('Minhas Entradas e Saidas'!$F$3:$F$103)*('Minhas Entradas e Saidas'!$G$3:$G$103="Inter"))</f>
        <v>0</v>
      </c>
      <c r="M22" s="16">
        <f>SUMPRODUCT((MONTH('Minhas Entradas e Saidas'!$B$3:$B$103)=10)*('Minhas Entradas e Saidas'!$F$3:$F$103)*('Minhas Entradas e Saidas'!$G$3:$G$103="Inter"))</f>
        <v>0</v>
      </c>
      <c r="N22" s="16">
        <f>SUMPRODUCT((MONTH('Minhas Entradas e Saidas'!$B$3:$B$103)=11)*('Minhas Entradas e Saidas'!$F$3:$F$103)*('Minhas Entradas e Saidas'!$G$3:$G$103="Inter"))</f>
        <v>0</v>
      </c>
      <c r="O22" s="16">
        <f>SUMPRODUCT((MONTH('Minhas Entradas e Saidas'!$B$3:$B$103)=12)*('Minhas Entradas e Saidas'!$F$3:$F$103)*('Minhas Entradas e Saidas'!$G$3:$G$103="Inter"))</f>
        <v>0</v>
      </c>
      <c r="P22" s="16">
        <f t="shared" ref="P22:P27" si="1">SUM(D22:O22)</f>
        <v>738.18000000000006</v>
      </c>
    </row>
    <row r="23" spans="2:16">
      <c r="B23" s="21" t="s">
        <v>91</v>
      </c>
      <c r="D23" s="16">
        <f>SUMPRODUCT((MONTH('Minhas Entradas e Saidas'!$B$3:$B$103)=1)*('Minhas Entradas e Saidas'!$F$3:$F$103)*('Minhas Entradas e Saidas'!$G$3:$G$103="Submarino"))</f>
        <v>0</v>
      </c>
      <c r="E23" s="16">
        <f>SUMPRODUCT((MONTH('Minhas Entradas e Saidas'!$B$3:$B$103)=2)*('Minhas Entradas e Saidas'!$F$3:$F$103)*('Minhas Entradas e Saidas'!$G$3:$G$103="Submarino"))</f>
        <v>0</v>
      </c>
      <c r="F23" s="16">
        <f>SUMPRODUCT((MONTH('Minhas Entradas e Saidas'!$B$3:$B$103)=3)*('Minhas Entradas e Saidas'!$F$3:$F$103)*('Minhas Entradas e Saidas'!$G$3:$G$103="Submarino"))</f>
        <v>0</v>
      </c>
      <c r="G23" s="16">
        <f>SUMPRODUCT((MONTH('Minhas Entradas e Saidas'!$B$3:$B$103)=4)*('Minhas Entradas e Saidas'!$F$3:$F$103)*('Minhas Entradas e Saidas'!$G$3:$G$103="Submarino"))</f>
        <v>31.25</v>
      </c>
      <c r="H23" s="16">
        <f>SUMPRODUCT((MONTH('Minhas Entradas e Saidas'!$B$3:$B$103)=5)*('Minhas Entradas e Saidas'!$F$3:$F$103)*('Minhas Entradas e Saidas'!$G$3:$G$103="Submarino"))</f>
        <v>0</v>
      </c>
      <c r="I23" s="16">
        <f>SUMPRODUCT((MONTH('Minhas Entradas e Saidas'!$B$3:$B$103)=6)*('Minhas Entradas e Saidas'!$F$3:$F$103)*('Minhas Entradas e Saidas'!$G$3:$G$103="Submarino"))</f>
        <v>0</v>
      </c>
      <c r="J23" s="16">
        <f>SUMPRODUCT((MONTH('Minhas Entradas e Saidas'!$B$3:$B$103)=7)*('Minhas Entradas e Saidas'!$F$3:$F$103)*('Minhas Entradas e Saidas'!$G$3:$G$103="Submarino"))</f>
        <v>0</v>
      </c>
      <c r="K23" s="16">
        <f>SUM(SUMPRODUCT((MONTH(Entradas!$C$3:$C$79)=8)*(Entradas!$G$3:$G$79)*(Entradas!$H$3:$H$79="Submarino")),SUMPRODUCT((MONTH('Minhas Entradas e Saidas'!$B$3:$B$103)=8)*('Minhas Entradas e Saidas'!$F$3:$F$103)*('Minhas Entradas e Saidas'!$G$3:$G$103="Submarino")*('Minhas Entradas e Saidas'!$D$3:$D$103="Norberto")))</f>
        <v>0</v>
      </c>
      <c r="L23" s="16">
        <f>SUMPRODUCT((MONTH('Minhas Entradas e Saidas'!$B$3:$B$103)=9)*('Minhas Entradas e Saidas'!$F$3:$F$103)*('Minhas Entradas e Saidas'!$G$3:$G$103="Submarino"))</f>
        <v>0</v>
      </c>
      <c r="M23" s="16">
        <f>SUMPRODUCT((MONTH('Minhas Entradas e Saidas'!$B$3:$B$103)=10)*('Minhas Entradas e Saidas'!$F$3:$F$103)*('Minhas Entradas e Saidas'!$G$3:$G$103="Submarino"))</f>
        <v>0</v>
      </c>
      <c r="N23" s="16">
        <f>SUMPRODUCT((MONTH('Minhas Entradas e Saidas'!$B$3:$B$103)=11)*('Minhas Entradas e Saidas'!$F$3:$F$103)*('Minhas Entradas e Saidas'!$G$3:$G$103="Submarino"))</f>
        <v>0</v>
      </c>
      <c r="O23" s="16">
        <f>SUMPRODUCT((MONTH('Minhas Entradas e Saidas'!$B$3:$B$103)=12)*('Minhas Entradas e Saidas'!$F$3:$F$103)*('Minhas Entradas e Saidas'!$G$3:$G$103="Submarino"))</f>
        <v>0</v>
      </c>
      <c r="P23" s="16">
        <f t="shared" si="1"/>
        <v>31.25</v>
      </c>
    </row>
    <row r="24" spans="2:16">
      <c r="B24" s="21" t="s">
        <v>28</v>
      </c>
      <c r="D24" s="16">
        <f>SUMPRODUCT((MONTH('Minhas Entradas e Saidas'!$B$3:$B$103)=1)*('Minhas Entradas e Saidas'!$F$3:$F$103)*('Minhas Entradas e Saidas'!$G$3:$G$103="Digio"))</f>
        <v>0</v>
      </c>
      <c r="E24" s="16">
        <f>SUMPRODUCT((MONTH('Minhas Entradas e Saidas'!$B$3:$B$103)=2)*('Minhas Entradas e Saidas'!$F$3:$F$103)*('Minhas Entradas e Saidas'!$G$3:$G$103="Digio"))</f>
        <v>0</v>
      </c>
      <c r="F24" s="16">
        <f>SUMPRODUCT((MONTH('Minhas Entradas e Saidas'!$B$3:$B$103)=3)*('Minhas Entradas e Saidas'!$F$3:$F$103)*('Minhas Entradas e Saidas'!$G$3:$G$103="Digio"))</f>
        <v>202.9</v>
      </c>
      <c r="G24" s="16">
        <f>SUMPRODUCT((MONTH('Minhas Entradas e Saidas'!$B$3:$B$103)=4)*('Minhas Entradas e Saidas'!$F$3:$F$103)*('Minhas Entradas e Saidas'!$G$3:$G$103="Digio"))</f>
        <v>0</v>
      </c>
      <c r="H24" s="16">
        <f>SUMPRODUCT((MONTH('Minhas Entradas e Saidas'!$B$3:$B$103)=5)*('Minhas Entradas e Saidas'!$F$3:$F$103)*('Minhas Entradas e Saidas'!$G$3:$G$103="Digio"))</f>
        <v>0</v>
      </c>
      <c r="I24" s="16">
        <f>SUMPRODUCT((MONTH('Minhas Entradas e Saidas'!$B$3:$B$103)=6)*('Minhas Entradas e Saidas'!$F$3:$F$103)*('Minhas Entradas e Saidas'!$G$3:$G$103="Digio"))</f>
        <v>0</v>
      </c>
      <c r="J24" s="16">
        <f>SUMPRODUCT((MONTH('Minhas Entradas e Saidas'!$B$3:$B$103)=7)*('Minhas Entradas e Saidas'!$F$3:$F$103)*('Minhas Entradas e Saidas'!$G$3:$G$103="Digio"))</f>
        <v>0</v>
      </c>
      <c r="K24" s="16">
        <f>SUM(SUMPRODUCT((MONTH(Entradas!$C$3:$C$79)=8)*(Entradas!$G$3:$G$79)*(Entradas!$H$3:$H$79="Digio")),SUMPRODUCT((MONTH('Minhas Entradas e Saidas'!$B$3:$B$103)=8)*('Minhas Entradas e Saidas'!$F$3:$F$103)*('Minhas Entradas e Saidas'!$G$3:$G$103="Digio")*('Minhas Entradas e Saidas'!$D$3:$D$103="Norberto")))</f>
        <v>0</v>
      </c>
      <c r="L24" s="16">
        <f>SUMPRODUCT((MONTH('Minhas Entradas e Saidas'!$B$3:$B$103)=9)*('Minhas Entradas e Saidas'!$F$3:$F$103)*('Minhas Entradas e Saidas'!$G$3:$G$103="Digio"))</f>
        <v>0</v>
      </c>
      <c r="M24" s="16">
        <f>SUMPRODUCT((MONTH('Minhas Entradas e Saidas'!$B$3:$B$103)=10)*('Minhas Entradas e Saidas'!$F$3:$F$103)*('Minhas Entradas e Saidas'!$G$3:$G$103="Digio"))</f>
        <v>0</v>
      </c>
      <c r="N24" s="16">
        <f>SUMPRODUCT((MONTH('Minhas Entradas e Saidas'!$B$3:$B$103)=11)*('Minhas Entradas e Saidas'!$F$3:$F$103)*('Minhas Entradas e Saidas'!$G$3:$G$103="Digio"))</f>
        <v>0</v>
      </c>
      <c r="O24" s="16">
        <f>SUMPRODUCT((MONTH('Minhas Entradas e Saidas'!$B$3:$B$103)=12)*('Minhas Entradas e Saidas'!$F$3:$F$103)*('Minhas Entradas e Saidas'!$G$3:$G$103="Digio"))</f>
        <v>0</v>
      </c>
      <c r="P24" s="16">
        <f t="shared" si="1"/>
        <v>202.9</v>
      </c>
    </row>
    <row r="25" spans="2:16">
      <c r="B25" s="21" t="s">
        <v>63</v>
      </c>
      <c r="D25" s="16">
        <f>SUMPRODUCT((MONTH('Minhas Entradas e Saidas'!$B$3:$B$103)=1)*('Minhas Entradas e Saidas'!$F$3:$F$103)*('Minhas Entradas e Saidas'!$G$3:$G$103="Next"))</f>
        <v>0</v>
      </c>
      <c r="E25" s="16">
        <f>SUMPRODUCT((MONTH('Minhas Entradas e Saidas'!$B$3:$B$103)=2)*('Minhas Entradas e Saidas'!$F$3:$F$103)*('Minhas Entradas e Saidas'!$G$3:$G$103="Next"))</f>
        <v>0</v>
      </c>
      <c r="F25" s="16">
        <f>SUMPRODUCT((MONTH('Minhas Entradas e Saidas'!$B$3:$B$103)=3)*('Minhas Entradas e Saidas'!$F$3:$F$103)*('Minhas Entradas e Saidas'!$G$3:$G$103="Next"))</f>
        <v>231.24</v>
      </c>
      <c r="G25" s="16">
        <f>SUMPRODUCT((MONTH('Minhas Entradas e Saidas'!$B$3:$B$103)=4)*('Minhas Entradas e Saidas'!$F$3:$F$103)*('Minhas Entradas e Saidas'!$G$3:$G$103="Next"))</f>
        <v>67.75</v>
      </c>
      <c r="H25" s="16">
        <f>SUMPRODUCT((MONTH('Minhas Entradas e Saidas'!$B$3:$B$103)=5)*('Minhas Entradas e Saidas'!$F$3:$F$103)*('Minhas Entradas e Saidas'!$G$3:$G$103="Next"))</f>
        <v>0</v>
      </c>
      <c r="I25" s="16">
        <f>SUMPRODUCT((MONTH('Minhas Entradas e Saidas'!$B$3:$B$103)=6)*('Minhas Entradas e Saidas'!$F$3:$F$103)*('Minhas Entradas e Saidas'!$G$3:$G$103="Next"))</f>
        <v>0</v>
      </c>
      <c r="J25" s="16">
        <f>SUMPRODUCT((MONTH('Minhas Entradas e Saidas'!$B$3:$B$103)=7)*('Minhas Entradas e Saidas'!$F$3:$F$103)*('Minhas Entradas e Saidas'!$G$3:$G$103="Next"))</f>
        <v>0</v>
      </c>
      <c r="K25" s="16">
        <f>SUM(SUMPRODUCT((MONTH(Entradas!$C$3:$C$79)=8)*(Entradas!$G$3:$G$79)*(Entradas!$H$3:$H$79="Next")),SUMPRODUCT((MONTH('Minhas Entradas e Saidas'!$B$3:$B$103)=8)*('Minhas Entradas e Saidas'!$F$3:$F$103)*('Minhas Entradas e Saidas'!$G$3:$G$103="Next")*('Minhas Entradas e Saidas'!$D$3:$D$103="Norberto")))</f>
        <v>0</v>
      </c>
      <c r="L25" s="16">
        <f>SUMPRODUCT((MONTH('Minhas Entradas e Saidas'!$B$3:$B$103)=9)*('Minhas Entradas e Saidas'!$F$3:$F$103)*('Minhas Entradas e Saidas'!$G$3:$G$103="Next"))</f>
        <v>0</v>
      </c>
      <c r="M25" s="16">
        <f>SUMPRODUCT((MONTH('Minhas Entradas e Saidas'!$B$3:$B$103)=10)*('Minhas Entradas e Saidas'!$F$3:$F$103)*('Minhas Entradas e Saidas'!$G$3:$G$103="Next"))</f>
        <v>0</v>
      </c>
      <c r="N25" s="16">
        <f>SUMPRODUCT((MONTH('Minhas Entradas e Saidas'!$B$3:$B$103)=11)*('Minhas Entradas e Saidas'!$F$3:$F$103)*('Minhas Entradas e Saidas'!$G$3:$G$103="Next"))</f>
        <v>0</v>
      </c>
      <c r="O25" s="16">
        <f>SUMPRODUCT((MONTH('Minhas Entradas e Saidas'!$B$3:$B$103)=12)*('Minhas Entradas e Saidas'!$F$3:$F$103)*('Minhas Entradas e Saidas'!$G$3:$G$103="Next"))</f>
        <v>0</v>
      </c>
      <c r="P25" s="16">
        <f t="shared" si="1"/>
        <v>298.99</v>
      </c>
    </row>
    <row r="26" spans="2:16">
      <c r="B26" s="21" t="s">
        <v>62</v>
      </c>
      <c r="D26" s="16">
        <f>SUMPRODUCT((MONTH('Minhas Entradas e Saidas'!$B$3:$B$103)=1)*('Minhas Entradas e Saidas'!$F$3:$F$103)*('Minhas Entradas e Saidas'!$G$3:$G$103="Sicredi"))</f>
        <v>0</v>
      </c>
      <c r="E26" s="16">
        <f>SUMPRODUCT((MONTH('Minhas Entradas e Saidas'!$B$3:$B$103)=2)*('Minhas Entradas e Saidas'!$F$3:$F$103)*('Minhas Entradas e Saidas'!$G$3:$G$103="Sicredi"))</f>
        <v>0</v>
      </c>
      <c r="F26" s="16">
        <f>SUMPRODUCT((MONTH('Minhas Entradas e Saidas'!$B$3:$B$103)=3)*('Minhas Entradas e Saidas'!$F$3:$F$103)*('Minhas Entradas e Saidas'!$G$3:$G$103="Sicredi"))</f>
        <v>350.97999999999996</v>
      </c>
      <c r="G26" s="16">
        <f>SUMPRODUCT((MONTH('Minhas Entradas e Saidas'!$B$3:$B$103)=4)*('Minhas Entradas e Saidas'!$F$3:$F$103)*('Minhas Entradas e Saidas'!$G$3:$G$103="Sicredi"))</f>
        <v>0</v>
      </c>
      <c r="H26" s="16">
        <f>SUMPRODUCT((MONTH('Minhas Entradas e Saidas'!$B$3:$B$103)=5)*('Minhas Entradas e Saidas'!$F$3:$F$103)*('Minhas Entradas e Saidas'!$G$3:$G$103="Sicredi"))</f>
        <v>0</v>
      </c>
      <c r="I26" s="16">
        <f>SUMPRODUCT((MONTH('Minhas Entradas e Saidas'!$B$3:$B$103)=6)*('Minhas Entradas e Saidas'!$F$3:$F$103)*('Minhas Entradas e Saidas'!$G$3:$G$103="Sicredi"))</f>
        <v>0</v>
      </c>
      <c r="J26" s="16">
        <f>SUMPRODUCT((MONTH('Minhas Entradas e Saidas'!$B$3:$B$103)=7)*('Minhas Entradas e Saidas'!$F$3:$F$103)*('Minhas Entradas e Saidas'!$G$3:$G$103="Sicredi"))</f>
        <v>0</v>
      </c>
      <c r="K26" s="16">
        <f>SUM(SUMPRODUCT((MONTH(Entradas!$C$3:$C$79)=8)*(Entradas!$G$3:$G$79)*(Entradas!$H$3:$H$79="Sicredi")),SUMPRODUCT((MONTH('Minhas Entradas e Saidas'!$B$3:$B$103)=8)*('Minhas Entradas e Saidas'!$F$3:$F$103)*('Minhas Entradas e Saidas'!$G$3:$G$103="Sicredi")*('Minhas Entradas e Saidas'!$D$3:$D$103="Norberto")))</f>
        <v>0</v>
      </c>
      <c r="L26" s="16">
        <f>SUMPRODUCT((MONTH('Minhas Entradas e Saidas'!$B$3:$B$103)=9)*('Minhas Entradas e Saidas'!$F$3:$F$103)*('Minhas Entradas e Saidas'!$G$3:$G$103="Sicredi"))</f>
        <v>0</v>
      </c>
      <c r="M26" s="16">
        <f>SUMPRODUCT((MONTH('Minhas Entradas e Saidas'!$B$3:$B$103)=10)*('Minhas Entradas e Saidas'!$F$3:$F$103)*('Minhas Entradas e Saidas'!$G$3:$G$103="Sicredi"))</f>
        <v>0</v>
      </c>
      <c r="N26" s="16">
        <f>SUMPRODUCT((MONTH('Minhas Entradas e Saidas'!$B$3:$B$103)=11)*('Minhas Entradas e Saidas'!$F$3:$F$103)*('Minhas Entradas e Saidas'!$G$3:$G$103="Sicredi"))</f>
        <v>0</v>
      </c>
      <c r="O26" s="16">
        <f>SUMPRODUCT((MONTH('Minhas Entradas e Saidas'!$B$3:$B$103)=12)*('Minhas Entradas e Saidas'!$F$3:$F$103)*('Minhas Entradas e Saidas'!$G$3:$G$103="Sicredi"))</f>
        <v>0</v>
      </c>
      <c r="P26" s="16">
        <f t="shared" si="1"/>
        <v>350.97999999999996</v>
      </c>
    </row>
    <row r="27" spans="2:16">
      <c r="B27" s="21" t="s">
        <v>30</v>
      </c>
      <c r="D27" s="16">
        <f>SUMPRODUCT((MONTH('Minhas Entradas e Saidas'!$B$3:$B$103)=1)*('Minhas Entradas e Saidas'!$F$3:$F$103)*('Minhas Entradas e Saidas'!$G$3:$G$103="Nubank"))</f>
        <v>0</v>
      </c>
      <c r="E27" s="16">
        <f>SUMPRODUCT((MONTH('Minhas Entradas e Saidas'!$B$3:$B$103)=2)*('Minhas Entradas e Saidas'!$F$3:$F$103)*('Minhas Entradas e Saidas'!$G$3:$G$103="Nubank"))</f>
        <v>0</v>
      </c>
      <c r="F27" s="16">
        <f>SUMPRODUCT((MONTH('Minhas Entradas e Saidas'!$B$3:$B$103)=3)*('Minhas Entradas e Saidas'!$F$3:$F$103)*('Minhas Entradas e Saidas'!$G$3:$G$103="Nubank"))</f>
        <v>479.46000000000004</v>
      </c>
      <c r="G27" s="16">
        <f>SUMPRODUCT((MONTH('Minhas Entradas e Saidas'!$B$3:$B$103)=4)*('Minhas Entradas e Saidas'!$F$3:$F$103)*('Minhas Entradas e Saidas'!$G$3:$G$103="Nubank"))</f>
        <v>58.81</v>
      </c>
      <c r="H27" s="16">
        <f>SUMPRODUCT((MONTH('Minhas Entradas e Saidas'!$B$3:$B$103)=5)*('Minhas Entradas e Saidas'!$F$3:$F$103)*('Minhas Entradas e Saidas'!$G$3:$G$103="Nubank"))</f>
        <v>0</v>
      </c>
      <c r="I27" s="16">
        <f>SUMPRODUCT((MONTH('Minhas Entradas e Saidas'!$B$3:$B$103)=6)*('Minhas Entradas e Saidas'!$F$3:$F$103)*('Minhas Entradas e Saidas'!$G$3:$G$103="Nubank"))</f>
        <v>0</v>
      </c>
      <c r="J27" s="16">
        <f>SUMPRODUCT((MONTH('Minhas Entradas e Saidas'!$B$3:$B$103)=7)*('Minhas Entradas e Saidas'!$F$3:$F$103)*('Minhas Entradas e Saidas'!$G$3:$G$103="Nubank"))</f>
        <v>0</v>
      </c>
      <c r="K27" s="16">
        <f>SUMPRODUCT((MONTH('Minhas Entradas e Saidas'!$B$3:$B$103)=8)*('Minhas Entradas e Saidas'!$F$3:$F$103)*('Minhas Entradas e Saidas'!$G$3:$G$103="Nubank"))</f>
        <v>0</v>
      </c>
      <c r="L27" s="16">
        <f>SUMPRODUCT((MONTH('Minhas Entradas e Saidas'!$B$3:$B$103)=9)*('Minhas Entradas e Saidas'!$F$3:$F$103)*('Minhas Entradas e Saidas'!$G$3:$G$103="Nubank"))</f>
        <v>0</v>
      </c>
      <c r="M27" s="16">
        <f>SUMPRODUCT((MONTH('Minhas Entradas e Saidas'!$B$3:$B$103)=10)*('Minhas Entradas e Saidas'!$F$3:$F$103)*('Minhas Entradas e Saidas'!$G$3:$G$103="Nubank"))</f>
        <v>0</v>
      </c>
      <c r="N27" s="16">
        <f>SUMPRODUCT((MONTH('Minhas Entradas e Saidas'!$B$3:$B$103)=11)*('Minhas Entradas e Saidas'!$F$3:$F$103)*('Minhas Entradas e Saidas'!$G$3:$G$103="Nubank"))</f>
        <v>0</v>
      </c>
      <c r="O27" s="16">
        <f>SUMPRODUCT((MONTH('Minhas Entradas e Saidas'!$B$3:$B$103)=12)*('Minhas Entradas e Saidas'!$F$3:$F$103)*('Minhas Entradas e Saidas'!$G$3:$G$103="Nubank"))</f>
        <v>0</v>
      </c>
      <c r="P27" s="16">
        <f t="shared" si="1"/>
        <v>538.27</v>
      </c>
    </row>
    <row r="28" spans="2:16">
      <c r="B28" s="22" t="s">
        <v>123</v>
      </c>
      <c r="C28" s="22"/>
      <c r="D28" s="29">
        <f t="shared" ref="D28:P28" si="2">SUM(D21:D27)</f>
        <v>0</v>
      </c>
      <c r="E28" s="29">
        <f t="shared" si="2"/>
        <v>0</v>
      </c>
      <c r="F28" s="29">
        <f t="shared" si="2"/>
        <v>1896.2</v>
      </c>
      <c r="G28" s="29">
        <f t="shared" si="2"/>
        <v>287.37</v>
      </c>
      <c r="H28" s="29">
        <f t="shared" si="2"/>
        <v>0</v>
      </c>
      <c r="I28" s="29">
        <f t="shared" si="2"/>
        <v>0</v>
      </c>
      <c r="J28" s="29">
        <f t="shared" si="2"/>
        <v>0</v>
      </c>
      <c r="K28" s="29">
        <f t="shared" si="2"/>
        <v>0</v>
      </c>
      <c r="L28" s="29">
        <f t="shared" si="2"/>
        <v>0</v>
      </c>
      <c r="M28" s="29">
        <f t="shared" si="2"/>
        <v>0</v>
      </c>
      <c r="N28" s="29">
        <f t="shared" si="2"/>
        <v>0</v>
      </c>
      <c r="O28" s="29">
        <f t="shared" si="2"/>
        <v>0</v>
      </c>
      <c r="P28" s="29">
        <f t="shared" si="2"/>
        <v>2183.5700000000002</v>
      </c>
    </row>
    <row r="29" spans="2:16">
      <c r="B29" s="31" t="s">
        <v>124</v>
      </c>
      <c r="C29" s="32"/>
      <c r="D29" s="32"/>
      <c r="E29" s="32"/>
      <c r="F29" s="43">
        <f>SUM(F18,-F19)</f>
        <v>-541.82999999999993</v>
      </c>
      <c r="G29" s="43">
        <f>SUM(G18,-G19,F29)</f>
        <v>-829.2</v>
      </c>
      <c r="H29" s="43">
        <f t="shared" ref="H29:O29" si="3">SUM(H18,-H19,G29)</f>
        <v>-829.2</v>
      </c>
      <c r="I29" s="43">
        <f t="shared" si="3"/>
        <v>-829.2</v>
      </c>
      <c r="J29" s="43">
        <f t="shared" si="3"/>
        <v>-829.2</v>
      </c>
      <c r="K29" s="43">
        <f t="shared" si="3"/>
        <v>-829.2</v>
      </c>
      <c r="L29" s="43">
        <f t="shared" si="3"/>
        <v>-829.2</v>
      </c>
      <c r="M29" s="43">
        <f t="shared" si="3"/>
        <v>-829.2</v>
      </c>
      <c r="N29" s="43">
        <f t="shared" si="3"/>
        <v>-829.2</v>
      </c>
      <c r="O29" s="43">
        <f t="shared" si="3"/>
        <v>-829.2</v>
      </c>
      <c r="P29" s="32">
        <f>(O29)</f>
        <v>-829.2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C11" 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6"/>
  <sheetViews>
    <sheetView tabSelected="1" workbookViewId="0">
      <selection activeCell="H11" sqref="H11"/>
    </sheetView>
  </sheetViews>
  <sheetFormatPr defaultRowHeight="14.4"/>
  <cols>
    <col min="1" max="1" width="9.109375" customWidth="1"/>
    <col min="2" max="2" width="14" customWidth="1"/>
    <col min="3" max="3" width="12.5546875" customWidth="1"/>
    <col min="4" max="4" width="14.109375" customWidth="1"/>
    <col min="5" max="5" width="11.5546875" customWidth="1"/>
    <col min="6" max="7" width="11.109375" customWidth="1"/>
    <col min="8" max="8" width="11.5546875" customWidth="1"/>
    <col min="9" max="9" width="11.44140625" customWidth="1"/>
    <col min="10" max="10" width="13" customWidth="1"/>
    <col min="11" max="11" width="14.44140625" customWidth="1"/>
    <col min="12" max="13" width="15.44140625" customWidth="1"/>
    <col min="14" max="14" width="14.88671875" customWidth="1"/>
  </cols>
  <sheetData>
    <row r="1" spans="2:14">
      <c r="B1" s="1" t="s">
        <v>67</v>
      </c>
      <c r="C1" s="1" t="s">
        <v>51</v>
      </c>
      <c r="D1" s="1" t="s">
        <v>52</v>
      </c>
      <c r="E1" s="1" t="s">
        <v>73</v>
      </c>
      <c r="F1" s="1" t="s">
        <v>74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</row>
    <row r="2" spans="2:14">
      <c r="B2" s="1" t="s">
        <v>99</v>
      </c>
      <c r="C2" s="44">
        <f>SUMPRODUCT(('Minhas Entradas e Saidas'!$E$3:$E$50=$B2)*(MONTH('Minhas Entradas e Saidas'!$B$3:$B$50)=MONTH(1&amp;Tabela1[[#Headers],[Janeiro]]))*('Minhas Entradas e Saidas'!$F$3:$F$50))</f>
        <v>0</v>
      </c>
      <c r="D2" s="44">
        <f>SUMPRODUCT(('Minhas Entradas e Saidas'!$E$3:$E$50=$B2)*(MONTH('Minhas Entradas e Saidas'!$B$3:$B$50)=MONTH(1&amp;Tabela1[[#Headers],[Fevereiro]]))*('Minhas Entradas e Saidas'!$F$3:$F$50))</f>
        <v>0</v>
      </c>
      <c r="E2" s="19">
        <f>SUMPRODUCT(('Minhas Entradas e Saidas'!$E$3:$E$50=$B2)*(MONTH('Minhas Entradas e Saidas'!$B$3:$B$50)=MONTH(1&amp;Tabela1[[#Headers],[Março]]))*('Minhas Entradas e Saidas'!$F$3:$F$50))</f>
        <v>570.76</v>
      </c>
      <c r="F2" s="19">
        <f>SUMPRODUCT(('Minhas Entradas e Saidas'!$E$3:$E$50=$B2)*(MONTH('Minhas Entradas e Saidas'!$B$3:$B$50)=MONTH(1&amp;Tabela1[[#Headers],[Abril]]))*('Minhas Entradas e Saidas'!$F$3:$F$50))</f>
        <v>94.56</v>
      </c>
      <c r="G2" s="19">
        <f>SUMPRODUCT(('Minhas Entradas e Saidas'!$E$3:$E$50=$B2)*(MONTH('Minhas Entradas e Saidas'!$B$3:$B$50)=MONTH(1&amp;Tabela1[[#Headers],[Maio]]))*('Minhas Entradas e Saidas'!$F$3:$F$50))</f>
        <v>0</v>
      </c>
      <c r="H2" s="19">
        <f>SUMPRODUCT(('Minhas Entradas e Saidas'!$E$3:$E$50=$B2)*(MONTH('Minhas Entradas e Saidas'!$B$3:$B$50)=MONTH(1&amp;Tabela1[[#Headers],[Junho]]))*('Minhas Entradas e Saidas'!$F$3:$F$50))</f>
        <v>0</v>
      </c>
      <c r="I2" s="19">
        <f>SUMPRODUCT(('Minhas Entradas e Saidas'!$E$3:$E$50=$B2)*(MONTH('Minhas Entradas e Saidas'!$B$3:$B$50)=MONTH(1&amp;Tabela1[[#Headers],[Julho]]))*('Minhas Entradas e Saidas'!$F$3:$F$50))</f>
        <v>0</v>
      </c>
      <c r="J2" s="19">
        <f>SUMPRODUCT(('Minhas Entradas e Saidas'!$E$3:$E$50=$B2)*(MONTH('Minhas Entradas e Saidas'!$B$3:$B$50)=MONTH(1&amp;Tabela1[[#Headers],[Agosto]]))*('Minhas Entradas e Saidas'!$F$3:$F$50))</f>
        <v>0</v>
      </c>
      <c r="K2" s="19">
        <f>SUMPRODUCT(('Minhas Entradas e Saidas'!$E$3:$E$50=$B2)*(MONTH('Minhas Entradas e Saidas'!$B$3:$B$50)=MONTH(1&amp;Tabela1[[#Headers],[Setembro]]))*('Minhas Entradas e Saidas'!$F$3:$F$50))</f>
        <v>0</v>
      </c>
      <c r="L2" s="19">
        <f>SUMPRODUCT(('Minhas Entradas e Saidas'!$E$3:$E$50=$B2)*(MONTH('Minhas Entradas e Saidas'!$B$3:$B$50)=MONTH(1&amp;Tabela1[[#Headers],[Outubro]]))*('Minhas Entradas e Saidas'!$F$3:$F$50))</f>
        <v>0</v>
      </c>
      <c r="M2" s="19">
        <f>SUMPRODUCT(('Minhas Entradas e Saidas'!$E$3:$E$50=$B2)*(MONTH('Minhas Entradas e Saidas'!$B$3:$B$50)=MONTH(1&amp;Tabela1[[#Headers],[Novembro]]))*('Minhas Entradas e Saidas'!$F$3:$F$50))</f>
        <v>0</v>
      </c>
      <c r="N2" s="19">
        <f>SUMPRODUCT(('Minhas Entradas e Saidas'!$E$3:$E$50=$B2)*(MONTH('Minhas Entradas e Saidas'!$B$3:$B$50)=MONTH(1&amp;Tabela1[[#Headers],[Dezembro]]))*('Minhas Entradas e Saidas'!$F$3:$F$50))</f>
        <v>0</v>
      </c>
    </row>
    <row r="3" spans="2:14">
      <c r="B3" s="1" t="s">
        <v>50</v>
      </c>
      <c r="C3" s="44">
        <f>SUMPRODUCT(('Minhas Entradas e Saidas'!$E$3:$E$50=$B3)*(MONTH('Minhas Entradas e Saidas'!$B$3:$B$50)=MONTH(1&amp;Tabela1[[#Headers],[Janeiro]]))*('Minhas Entradas e Saidas'!$F$3:$F$50))</f>
        <v>0</v>
      </c>
      <c r="D3" s="44">
        <f>SUMPRODUCT(('Minhas Entradas e Saidas'!$E$3:$E$50=$B3)*(MONTH('Minhas Entradas e Saidas'!$B$3:$B$50)=MONTH(1&amp;Tabela1[[#Headers],[Fevereiro]]))*('Minhas Entradas e Saidas'!$F$3:$F$50))</f>
        <v>0</v>
      </c>
      <c r="E3" s="19">
        <f>SUMPRODUCT(('Minhas Entradas e Saidas'!$E$3:$E$50=$B3)*(MONTH('Minhas Entradas e Saidas'!$B$3:$B$50)=MONTH(1&amp;Tabela1[[#Headers],[Março]]))*('Minhas Entradas e Saidas'!$F$3:$F$50))</f>
        <v>0</v>
      </c>
      <c r="F3" s="19">
        <f>SUMPRODUCT(('Minhas Entradas e Saidas'!$E$3:$E$50=$B3)*(MONTH('Minhas Entradas e Saidas'!$B$3:$B$50)=MONTH(1&amp;Tabela1[[#Headers],[Abril]]))*('Minhas Entradas e Saidas'!$F$3:$F$50))</f>
        <v>55.75</v>
      </c>
      <c r="G3" s="19">
        <f>SUMPRODUCT(('Minhas Entradas e Saidas'!$E$3:$E$50=$B3)*(MONTH('Minhas Entradas e Saidas'!$B$3:$B$50)=MONTH(1&amp;Tabela1[[#Headers],[Maio]]))*('Minhas Entradas e Saidas'!$F$3:$F$50))</f>
        <v>0</v>
      </c>
      <c r="H3" s="19">
        <f>SUMPRODUCT(('Minhas Entradas e Saidas'!$E$3:$E$50=$B3)*(MONTH('Minhas Entradas e Saidas'!$B$3:$B$50)=MONTH(1&amp;Tabela1[[#Headers],[Junho]]))*('Minhas Entradas e Saidas'!$F$3:$F$50))</f>
        <v>0</v>
      </c>
      <c r="I3" s="19">
        <f>SUMPRODUCT(('Minhas Entradas e Saidas'!$E$3:$E$50=$B3)*(MONTH('Minhas Entradas e Saidas'!$B$3:$B$50)=MONTH(1&amp;Tabela1[[#Headers],[Julho]]))*('Minhas Entradas e Saidas'!$F$3:$F$50))</f>
        <v>0</v>
      </c>
      <c r="J3" s="19">
        <f>SUMPRODUCT(('Minhas Entradas e Saidas'!$E$3:$E$50=$B3)*(MONTH('Minhas Entradas e Saidas'!$B$3:$B$50)=MONTH(1&amp;Tabela1[[#Headers],[Agosto]]))*('Minhas Entradas e Saidas'!$F$3:$F$50))</f>
        <v>0</v>
      </c>
      <c r="K3" s="19">
        <f>SUMPRODUCT(('Minhas Entradas e Saidas'!$E$3:$E$50=$B3)*(MONTH('Minhas Entradas e Saidas'!$B$3:$B$50)=MONTH(1&amp;Tabela1[[#Headers],[Setembro]]))*('Minhas Entradas e Saidas'!$F$3:$F$50))</f>
        <v>0</v>
      </c>
      <c r="L3" s="19">
        <f>SUMPRODUCT(('Minhas Entradas e Saidas'!$E$3:$E$50=$B3)*(MONTH('Minhas Entradas e Saidas'!$B$3:$B$50)=MONTH(1&amp;Tabela1[[#Headers],[Outubro]]))*('Minhas Entradas e Saidas'!$F$3:$F$50))</f>
        <v>0</v>
      </c>
      <c r="M3" s="19">
        <f>SUMPRODUCT(('Minhas Entradas e Saidas'!$E$3:$E$50=$B3)*(MONTH('Minhas Entradas e Saidas'!$B$3:$B$50)=MONTH(1&amp;Tabela1[[#Headers],[Novembro]]))*('Minhas Entradas e Saidas'!$F$3:$F$50))</f>
        <v>0</v>
      </c>
      <c r="N3" s="19">
        <f>SUMPRODUCT(('Minhas Entradas e Saidas'!$E$3:$E$50=$B3)*(MONTH('Minhas Entradas e Saidas'!$B$3:$B$50)=MONTH(1&amp;Tabela1[[#Headers],[Dezembro]]))*('Minhas Entradas e Saidas'!$F$3:$F$50))</f>
        <v>0</v>
      </c>
    </row>
    <row r="4" spans="2:14">
      <c r="B4" s="1"/>
      <c r="C4" s="44">
        <f>SUMPRODUCT(('Minhas Entradas e Saidas'!$E$3:$E$50=$B4)*(MONTH('Minhas Entradas e Saidas'!$B$3:$B$50)=MONTH(1&amp;Tabela1[[#Headers],[Janeiro]]))*('Minhas Entradas e Saidas'!$F$3:$F$50))</f>
        <v>0</v>
      </c>
      <c r="D4" s="44">
        <f>SUMPRODUCT(('Minhas Entradas e Saidas'!$E$3:$E$50=$B4)*(MONTH('Minhas Entradas e Saidas'!$B$3:$B$50)=MONTH(1&amp;Tabela1[[#Headers],[Fevereiro]]))*('Minhas Entradas e Saidas'!$F$3:$F$50))</f>
        <v>0</v>
      </c>
      <c r="E4" s="19">
        <f>SUMPRODUCT(('Minhas Entradas e Saidas'!$E$3:$E$50=$B4)*(MONTH('Minhas Entradas e Saidas'!$B$3:$B$50)=MONTH(1&amp;Tabela1[[#Headers],[Março]]))*('Minhas Entradas e Saidas'!$F$3:$F$50))</f>
        <v>0</v>
      </c>
      <c r="F4" s="19">
        <f>SUMPRODUCT(('Minhas Entradas e Saidas'!$E$3:$E$50=$B4)*(MONTH('Minhas Entradas e Saidas'!$B$3:$B$50)=MONTH(1&amp;Tabela1[[#Headers],[Abril]]))*('Minhas Entradas e Saidas'!$F$3:$F$50))</f>
        <v>0</v>
      </c>
      <c r="G4" s="19">
        <f>SUMPRODUCT(('Minhas Entradas e Saidas'!$E$3:$E$50=$B4)*(MONTH('Minhas Entradas e Saidas'!$B$3:$B$50)=MONTH(1&amp;Tabela1[[#Headers],[Maio]]))*('Minhas Entradas e Saidas'!$F$3:$F$50))</f>
        <v>0</v>
      </c>
      <c r="H4" s="19">
        <f>SUMPRODUCT(('Minhas Entradas e Saidas'!$E$3:$E$50=$B4)*(MONTH('Minhas Entradas e Saidas'!$B$3:$B$50)=MONTH(1&amp;Tabela1[[#Headers],[Junho]]))*('Minhas Entradas e Saidas'!$F$3:$F$50))</f>
        <v>0</v>
      </c>
      <c r="I4" s="19">
        <f>SUMPRODUCT(('Minhas Entradas e Saidas'!$E$3:$E$50=$B4)*(MONTH('Minhas Entradas e Saidas'!$B$3:$B$50)=MONTH(1&amp;Tabela1[[#Headers],[Julho]]))*('Minhas Entradas e Saidas'!$F$3:$F$50))</f>
        <v>0</v>
      </c>
      <c r="J4" s="19">
        <f>SUMPRODUCT(('Minhas Entradas e Saidas'!$E$3:$E$50=$B4)*(MONTH('Minhas Entradas e Saidas'!$B$3:$B$50)=MONTH(1&amp;Tabela1[[#Headers],[Agosto]]))*('Minhas Entradas e Saidas'!$F$3:$F$50))</f>
        <v>0</v>
      </c>
      <c r="K4" s="19">
        <f>SUMPRODUCT(('Minhas Entradas e Saidas'!$E$3:$E$50=$B4)*(MONTH('Minhas Entradas e Saidas'!$B$3:$B$50)=MONTH(1&amp;Tabela1[[#Headers],[Setembro]]))*('Minhas Entradas e Saidas'!$F$3:$F$50))</f>
        <v>0</v>
      </c>
      <c r="L4" s="19">
        <f>SUMPRODUCT(('Minhas Entradas e Saidas'!$E$3:$E$50=$B4)*(MONTH('Minhas Entradas e Saidas'!$B$3:$B$50)=MONTH(1&amp;Tabela1[[#Headers],[Outubro]]))*('Minhas Entradas e Saidas'!$F$3:$F$50))</f>
        <v>0</v>
      </c>
      <c r="M4" s="19">
        <f>SUMPRODUCT(('Minhas Entradas e Saidas'!$E$3:$E$50=$B4)*(MONTH('Minhas Entradas e Saidas'!$B$3:$B$50)=MONTH(1&amp;Tabela1[[#Headers],[Novembro]]))*('Minhas Entradas e Saidas'!$F$3:$F$50))</f>
        <v>0</v>
      </c>
      <c r="N4" s="19">
        <f>SUMPRODUCT(('Minhas Entradas e Saidas'!$E$3:$E$50=$B4)*(MONTH('Minhas Entradas e Saidas'!$B$3:$B$50)=MONTH(1&amp;Tabela1[[#Headers],[Dezembro]]))*('Minhas Entradas e Saidas'!$F$3:$F$50))</f>
        <v>0</v>
      </c>
    </row>
    <row r="5" spans="2:14">
      <c r="B5" s="1"/>
      <c r="C5" s="44">
        <f>SUMPRODUCT(('Minhas Entradas e Saidas'!$E$3:$E$50=$B5)*(MONTH('Minhas Entradas e Saidas'!$B$3:$B$50)=MONTH(1&amp;Tabela1[[#Headers],[Janeiro]]))*('Minhas Entradas e Saidas'!$F$3:$F$50))</f>
        <v>0</v>
      </c>
      <c r="D5" s="44">
        <f>SUMPRODUCT(('Minhas Entradas e Saidas'!$E$3:$E$50=$B5)*(MONTH('Minhas Entradas e Saidas'!$B$3:$B$50)=MONTH(1&amp;Tabela1[[#Headers],[Fevereiro]]))*('Minhas Entradas e Saidas'!$F$3:$F$50))</f>
        <v>0</v>
      </c>
      <c r="E5" s="19">
        <f>SUMPRODUCT(('Minhas Entradas e Saidas'!$E$3:$E$50=$B5)*(MONTH('Minhas Entradas e Saidas'!$B$3:$B$50)=MONTH(1&amp;Tabela1[[#Headers],[Março]]))*('Minhas Entradas e Saidas'!$F$3:$F$50))</f>
        <v>0</v>
      </c>
      <c r="F5" s="19">
        <f>SUMPRODUCT(('Minhas Entradas e Saidas'!$E$3:$E$50=$B5)*(MONTH('Minhas Entradas e Saidas'!$B$3:$B$50)=MONTH(1&amp;Tabela1[[#Headers],[Abril]]))*('Minhas Entradas e Saidas'!$F$3:$F$50))</f>
        <v>0</v>
      </c>
      <c r="G5" s="19">
        <f>SUMPRODUCT(('Minhas Entradas e Saidas'!$E$3:$E$50=$B5)*(MONTH('Minhas Entradas e Saidas'!$B$3:$B$50)=MONTH(1&amp;Tabela1[[#Headers],[Maio]]))*('Minhas Entradas e Saidas'!$F$3:$F$50))</f>
        <v>0</v>
      </c>
      <c r="H5" s="19">
        <f>SUMPRODUCT(('Minhas Entradas e Saidas'!$E$3:$E$50=$B5)*(MONTH('Minhas Entradas e Saidas'!$B$3:$B$50)=MONTH(1&amp;Tabela1[[#Headers],[Junho]]))*('Minhas Entradas e Saidas'!$F$3:$F$50))</f>
        <v>0</v>
      </c>
      <c r="I5" s="19">
        <f>SUMPRODUCT(('Minhas Entradas e Saidas'!$E$3:$E$50=$B5)*(MONTH('Minhas Entradas e Saidas'!$B$3:$B$50)=MONTH(1&amp;Tabela1[[#Headers],[Julho]]))*('Minhas Entradas e Saidas'!$F$3:$F$50))</f>
        <v>0</v>
      </c>
      <c r="J5" s="19">
        <f>SUMPRODUCT(('Minhas Entradas e Saidas'!$E$3:$E$50=$B5)*(MONTH('Minhas Entradas e Saidas'!$B$3:$B$50)=MONTH(1&amp;Tabela1[[#Headers],[Agosto]]))*('Minhas Entradas e Saidas'!$F$3:$F$50))</f>
        <v>0</v>
      </c>
      <c r="K5" s="19">
        <f>SUMPRODUCT(('Minhas Entradas e Saidas'!$E$3:$E$50=$B5)*(MONTH('Minhas Entradas e Saidas'!$B$3:$B$50)=MONTH(1&amp;Tabela1[[#Headers],[Setembro]]))*('Minhas Entradas e Saidas'!$F$3:$F$50))</f>
        <v>0</v>
      </c>
      <c r="L5" s="19">
        <f>SUMPRODUCT(('Minhas Entradas e Saidas'!$E$3:$E$50=$B5)*(MONTH('Minhas Entradas e Saidas'!$B$3:$B$50)=MONTH(1&amp;Tabela1[[#Headers],[Outubro]]))*('Minhas Entradas e Saidas'!$F$3:$F$50))</f>
        <v>0</v>
      </c>
      <c r="M5" s="19">
        <f>SUMPRODUCT(('Minhas Entradas e Saidas'!$E$3:$E$50=$B5)*(MONTH('Minhas Entradas e Saidas'!$B$3:$B$50)=MONTH(1&amp;Tabela1[[#Headers],[Novembro]]))*('Minhas Entradas e Saidas'!$F$3:$F$50))</f>
        <v>0</v>
      </c>
      <c r="N5" s="19">
        <f>SUMPRODUCT(('Minhas Entradas e Saidas'!$E$3:$E$50=$B5)*(MONTH('Minhas Entradas e Saidas'!$B$3:$B$50)=MONTH(1&amp;Tabela1[[#Headers],[Dezembro]]))*('Minhas Entradas e Saidas'!$F$3:$F$50))</f>
        <v>0</v>
      </c>
    </row>
    <row r="6" spans="2:14">
      <c r="B6" s="1"/>
      <c r="C6" s="44">
        <f>SUMPRODUCT(('Minhas Entradas e Saidas'!$E$3:$E$50=$B6)*(MONTH('Minhas Entradas e Saidas'!$B$3:$B$50)=MONTH(1&amp;Tabela1[[#Headers],[Janeiro]]))*('Minhas Entradas e Saidas'!$F$3:$F$50))</f>
        <v>0</v>
      </c>
      <c r="D6" s="44">
        <f>SUMPRODUCT(('Minhas Entradas e Saidas'!$E$3:$E$50=$B6)*(MONTH('Minhas Entradas e Saidas'!$B$3:$B$50)=MONTH(1&amp;Tabela1[[#Headers],[Fevereiro]]))*('Minhas Entradas e Saidas'!$F$3:$F$50))</f>
        <v>0</v>
      </c>
      <c r="E6" s="19">
        <f>SUMPRODUCT(('Minhas Entradas e Saidas'!$E$3:$E$50=$B6)*(MONTH('Minhas Entradas e Saidas'!$B$3:$B$50)=MONTH(1&amp;Tabela1[[#Headers],[Março]]))*('Minhas Entradas e Saidas'!$F$3:$F$50))</f>
        <v>0</v>
      </c>
      <c r="F6" s="19">
        <f>SUMPRODUCT(('Minhas Entradas e Saidas'!$E$3:$E$50=$B6)*(MONTH('Minhas Entradas e Saidas'!$B$3:$B$50)=MONTH(1&amp;Tabela1[[#Headers],[Abril]]))*('Minhas Entradas e Saidas'!$F$3:$F$50))</f>
        <v>0</v>
      </c>
      <c r="G6" s="19">
        <f>SUMPRODUCT(('Minhas Entradas e Saidas'!$E$3:$E$50=$B6)*(MONTH('Minhas Entradas e Saidas'!$B$3:$B$50)=MONTH(1&amp;Tabela1[[#Headers],[Maio]]))*('Minhas Entradas e Saidas'!$F$3:$F$50))</f>
        <v>0</v>
      </c>
      <c r="H6" s="19">
        <f>SUMPRODUCT(('Minhas Entradas e Saidas'!$E$3:$E$50=$B6)*(MONTH('Minhas Entradas e Saidas'!$B$3:$B$50)=MONTH(1&amp;Tabela1[[#Headers],[Junho]]))*('Minhas Entradas e Saidas'!$F$3:$F$50))</f>
        <v>0</v>
      </c>
      <c r="I6" s="19">
        <f>SUMPRODUCT(('Minhas Entradas e Saidas'!$E$3:$E$50=$B6)*(MONTH('Minhas Entradas e Saidas'!$B$3:$B$50)=MONTH(1&amp;Tabela1[[#Headers],[Julho]]))*('Minhas Entradas e Saidas'!$F$3:$F$50))</f>
        <v>0</v>
      </c>
      <c r="J6" s="19">
        <f>SUMPRODUCT(('Minhas Entradas e Saidas'!$E$3:$E$50=$B6)*(MONTH('Minhas Entradas e Saidas'!$B$3:$B$50)=MONTH(1&amp;Tabela1[[#Headers],[Agosto]]))*('Minhas Entradas e Saidas'!$F$3:$F$50))</f>
        <v>0</v>
      </c>
      <c r="K6" s="19">
        <f>SUMPRODUCT(('Minhas Entradas e Saidas'!$E$3:$E$50=$B6)*(MONTH('Minhas Entradas e Saidas'!$B$3:$B$50)=MONTH(1&amp;Tabela1[[#Headers],[Setembro]]))*('Minhas Entradas e Saidas'!$F$3:$F$50))</f>
        <v>0</v>
      </c>
      <c r="L6" s="19">
        <f>SUMPRODUCT(('Minhas Entradas e Saidas'!$E$3:$E$50=$B6)*(MONTH('Minhas Entradas e Saidas'!$B$3:$B$50)=MONTH(1&amp;Tabela1[[#Headers],[Outubro]]))*('Minhas Entradas e Saidas'!$F$3:$F$50))</f>
        <v>0</v>
      </c>
      <c r="M6" s="19">
        <f>SUMPRODUCT(('Minhas Entradas e Saidas'!$E$3:$E$50=$B6)*(MONTH('Minhas Entradas e Saidas'!$B$3:$B$50)=MONTH(1&amp;Tabela1[[#Headers],[Novembro]]))*('Minhas Entradas e Saidas'!$F$3:$F$50))</f>
        <v>0</v>
      </c>
      <c r="N6" s="19">
        <f>SUMPRODUCT(('Minhas Entradas e Saidas'!$E$3:$E$50=$B6)*(MONTH('Minhas Entradas e Saidas'!$B$3:$B$50)=MONTH(1&amp;Tabela1[[#Headers],[Dezembro]]))*('Minhas Entradas e Saidas'!$F$3:$F$50))</f>
        <v>0</v>
      </c>
    </row>
    <row r="7" spans="2:14">
      <c r="B7" s="1"/>
      <c r="C7" s="44">
        <f>SUMPRODUCT(('Minhas Entradas e Saidas'!$E$3:$E$50=$B7)*(MONTH('Minhas Entradas e Saidas'!$B$3:$B$50)=MONTH(1&amp;Tabela1[[#Headers],[Janeiro]]))*('Minhas Entradas e Saidas'!$F$3:$F$50))</f>
        <v>0</v>
      </c>
      <c r="D7" s="44">
        <f>SUMPRODUCT(('Minhas Entradas e Saidas'!$E$3:$E$50=$B7)*(MONTH('Minhas Entradas e Saidas'!$B$3:$B$50)=MONTH(1&amp;Tabela1[[#Headers],[Fevereiro]]))*('Minhas Entradas e Saidas'!$F$3:$F$50))</f>
        <v>0</v>
      </c>
      <c r="E7" s="19">
        <f>SUMPRODUCT(('Minhas Entradas e Saidas'!$E$3:$E$50=$B7)*(MONTH('Minhas Entradas e Saidas'!$B$3:$B$50)=MONTH(1&amp;Tabela1[[#Headers],[Março]]))*('Minhas Entradas e Saidas'!$F$3:$F$50))</f>
        <v>0</v>
      </c>
      <c r="F7" s="19">
        <f>SUMPRODUCT(('Minhas Entradas e Saidas'!$E$3:$E$50=$B7)*(MONTH('Minhas Entradas e Saidas'!$B$3:$B$50)=MONTH(1&amp;Tabela1[[#Headers],[Abril]]))*('Minhas Entradas e Saidas'!$F$3:$F$50))</f>
        <v>0</v>
      </c>
      <c r="G7" s="19">
        <f>SUMPRODUCT(('Minhas Entradas e Saidas'!$E$3:$E$50=$B7)*(MONTH('Minhas Entradas e Saidas'!$B$3:$B$50)=MONTH(1&amp;Tabela1[[#Headers],[Maio]]))*('Minhas Entradas e Saidas'!$F$3:$F$50))</f>
        <v>0</v>
      </c>
      <c r="H7" s="19">
        <f>SUMPRODUCT(('Minhas Entradas e Saidas'!$E$3:$E$50=$B7)*(MONTH('Minhas Entradas e Saidas'!$B$3:$B$50)=MONTH(1&amp;Tabela1[[#Headers],[Junho]]))*('Minhas Entradas e Saidas'!$F$3:$F$50))</f>
        <v>0</v>
      </c>
      <c r="I7" s="19">
        <f>SUMPRODUCT(('Minhas Entradas e Saidas'!$E$3:$E$50=$B7)*(MONTH('Minhas Entradas e Saidas'!$B$3:$B$50)=MONTH(1&amp;Tabela1[[#Headers],[Julho]]))*('Minhas Entradas e Saidas'!$F$3:$F$50))</f>
        <v>0</v>
      </c>
      <c r="J7" s="19">
        <f>SUMPRODUCT(('Minhas Entradas e Saidas'!$E$3:$E$50=$B7)*(MONTH('Minhas Entradas e Saidas'!$B$3:$B$50)=MONTH(1&amp;Tabela1[[#Headers],[Agosto]]))*('Minhas Entradas e Saidas'!$F$3:$F$50))</f>
        <v>0</v>
      </c>
      <c r="K7" s="19">
        <f>SUMPRODUCT(('Minhas Entradas e Saidas'!$E$3:$E$50=$B7)*(MONTH('Minhas Entradas e Saidas'!$B$3:$B$50)=MONTH(1&amp;Tabela1[[#Headers],[Setembro]]))*('Minhas Entradas e Saidas'!$F$3:$F$50))</f>
        <v>0</v>
      </c>
      <c r="L7" s="19">
        <f>SUMPRODUCT(('Minhas Entradas e Saidas'!$E$3:$E$50=$B7)*(MONTH('Minhas Entradas e Saidas'!$B$3:$B$50)=MONTH(1&amp;Tabela1[[#Headers],[Outubro]]))*('Minhas Entradas e Saidas'!$F$3:$F$50))</f>
        <v>0</v>
      </c>
      <c r="M7" s="19">
        <f>SUMPRODUCT(('Minhas Entradas e Saidas'!$E$3:$E$50=$B7)*(MONTH('Minhas Entradas e Saidas'!$B$3:$B$50)=MONTH(1&amp;Tabela1[[#Headers],[Novembro]]))*('Minhas Entradas e Saidas'!$F$3:$F$50))</f>
        <v>0</v>
      </c>
      <c r="N7" s="19">
        <f>SUMPRODUCT(('Minhas Entradas e Saidas'!$E$3:$E$50=$B7)*(MONTH('Minhas Entradas e Saidas'!$B$3:$B$50)=MONTH(1&amp;Tabela1[[#Headers],[Dezembro]]))*('Minhas Entradas e Saidas'!$F$3:$F$50))</f>
        <v>0</v>
      </c>
    </row>
    <row r="8" spans="2:14">
      <c r="B8" s="1"/>
      <c r="C8" s="44">
        <f>SUMPRODUCT(('Minhas Entradas e Saidas'!$E$3:$E$50=$B8)*(MONTH('Minhas Entradas e Saidas'!$B$3:$B$50)=MONTH(1&amp;Tabela1[[#Headers],[Janeiro]]))*('Minhas Entradas e Saidas'!$F$3:$F$50))</f>
        <v>0</v>
      </c>
      <c r="D8" s="44">
        <f>SUMPRODUCT(('Minhas Entradas e Saidas'!$E$3:$E$50=$B8)*(MONTH('Minhas Entradas e Saidas'!$B$3:$B$50)=MONTH(1&amp;Tabela1[[#Headers],[Fevereiro]]))*('Minhas Entradas e Saidas'!$F$3:$F$50))</f>
        <v>0</v>
      </c>
      <c r="E8" s="19">
        <f>SUMPRODUCT(('Minhas Entradas e Saidas'!$E$3:$E$50=$B8)*(MONTH('Minhas Entradas e Saidas'!$B$3:$B$50)=MONTH(1&amp;Tabela1[[#Headers],[Março]]))*('Minhas Entradas e Saidas'!$F$3:$F$50))</f>
        <v>0</v>
      </c>
      <c r="F8" s="19">
        <f>SUMPRODUCT(('Minhas Entradas e Saidas'!$E$3:$E$50=$B8)*(MONTH('Minhas Entradas e Saidas'!$B$3:$B$50)=MONTH(1&amp;Tabela1[[#Headers],[Abril]]))*('Minhas Entradas e Saidas'!$F$3:$F$50))</f>
        <v>0</v>
      </c>
      <c r="G8" s="19">
        <f>SUMPRODUCT(('Minhas Entradas e Saidas'!$E$3:$E$50=$B8)*(MONTH('Minhas Entradas e Saidas'!$B$3:$B$50)=MONTH(1&amp;Tabela1[[#Headers],[Maio]]))*('Minhas Entradas e Saidas'!$F$3:$F$50))</f>
        <v>0</v>
      </c>
      <c r="H8" s="19">
        <f>SUMPRODUCT(('Minhas Entradas e Saidas'!$E$3:$E$50=$B8)*(MONTH('Minhas Entradas e Saidas'!$B$3:$B$50)=MONTH(1&amp;Tabela1[[#Headers],[Junho]]))*('Minhas Entradas e Saidas'!$F$3:$F$50))</f>
        <v>0</v>
      </c>
      <c r="I8" s="19">
        <f>SUMPRODUCT(('Minhas Entradas e Saidas'!$E$3:$E$50=$B8)*(MONTH('Minhas Entradas e Saidas'!$B$3:$B$50)=MONTH(1&amp;Tabela1[[#Headers],[Julho]]))*('Minhas Entradas e Saidas'!$F$3:$F$50))</f>
        <v>0</v>
      </c>
      <c r="J8" s="19">
        <f>SUMPRODUCT(('Minhas Entradas e Saidas'!$E$3:$E$50=$B8)*(MONTH('Minhas Entradas e Saidas'!$B$3:$B$50)=MONTH(1&amp;Tabela1[[#Headers],[Agosto]]))*('Minhas Entradas e Saidas'!$F$3:$F$50))</f>
        <v>0</v>
      </c>
      <c r="K8" s="19">
        <f>SUMPRODUCT(('Minhas Entradas e Saidas'!$E$3:$E$50=$B8)*(MONTH('Minhas Entradas e Saidas'!$B$3:$B$50)=MONTH(1&amp;Tabela1[[#Headers],[Setembro]]))*('Minhas Entradas e Saidas'!$F$3:$F$50))</f>
        <v>0</v>
      </c>
      <c r="L8" s="19">
        <f>SUMPRODUCT(('Minhas Entradas e Saidas'!$E$3:$E$50=$B8)*(MONTH('Minhas Entradas e Saidas'!$B$3:$B$50)=MONTH(1&amp;Tabela1[[#Headers],[Outubro]]))*('Minhas Entradas e Saidas'!$F$3:$F$50))</f>
        <v>0</v>
      </c>
      <c r="M8" s="19">
        <f>SUMPRODUCT(('Minhas Entradas e Saidas'!$E$3:$E$50=$B8)*(MONTH('Minhas Entradas e Saidas'!$B$3:$B$50)=MONTH(1&amp;Tabela1[[#Headers],[Novembro]]))*('Minhas Entradas e Saidas'!$F$3:$F$50))</f>
        <v>0</v>
      </c>
      <c r="N8" s="19">
        <f>SUMPRODUCT(('Minhas Entradas e Saidas'!$E$3:$E$50=$B8)*(MONTH('Minhas Entradas e Saidas'!$B$3:$B$50)=MONTH(1&amp;Tabela1[[#Headers],[Dezembro]]))*('Minhas Entradas e Saidas'!$F$3:$F$50))</f>
        <v>0</v>
      </c>
    </row>
    <row r="9" spans="2:14">
      <c r="B9" s="1"/>
      <c r="C9" s="44">
        <f>SUMPRODUCT(('Minhas Entradas e Saidas'!$E$3:$E$50=$B9)*(MONTH('Minhas Entradas e Saidas'!$B$3:$B$50)=MONTH(1&amp;Tabela1[[#Headers],[Janeiro]]))*('Minhas Entradas e Saidas'!$F$3:$F$50))</f>
        <v>0</v>
      </c>
      <c r="D9" s="44">
        <f>SUMPRODUCT(('Minhas Entradas e Saidas'!$E$3:$E$50=$B9)*(MONTH('Minhas Entradas e Saidas'!$B$3:$B$50)=MONTH(1&amp;Tabela1[[#Headers],[Fevereiro]]))*('Minhas Entradas e Saidas'!$F$3:$F$50))</f>
        <v>0</v>
      </c>
      <c r="E9" s="19">
        <f>SUMPRODUCT(('Minhas Entradas e Saidas'!$E$3:$E$50=$B9)*(MONTH('Minhas Entradas e Saidas'!$B$3:$B$50)=MONTH(1&amp;Tabela1[[#Headers],[Março]]))*('Minhas Entradas e Saidas'!$F$3:$F$50))</f>
        <v>0</v>
      </c>
      <c r="F9" s="19">
        <f>SUMPRODUCT(('Minhas Entradas e Saidas'!$E$3:$E$50=$B9)*(MONTH('Minhas Entradas e Saidas'!$B$3:$B$50)=MONTH(1&amp;Tabela1[[#Headers],[Abril]]))*('Minhas Entradas e Saidas'!$F$3:$F$50))</f>
        <v>0</v>
      </c>
      <c r="G9" s="19">
        <f>SUMPRODUCT(('Minhas Entradas e Saidas'!$E$3:$E$50=$B9)*(MONTH('Minhas Entradas e Saidas'!$B$3:$B$50)=MONTH(1&amp;Tabela1[[#Headers],[Maio]]))*('Minhas Entradas e Saidas'!$F$3:$F$50))</f>
        <v>0</v>
      </c>
      <c r="H9" s="19">
        <f>SUMPRODUCT(('Minhas Entradas e Saidas'!$E$3:$E$50=$B9)*(MONTH('Minhas Entradas e Saidas'!$B$3:$B$50)=MONTH(1&amp;Tabela1[[#Headers],[Junho]]))*('Minhas Entradas e Saidas'!$F$3:$F$50))</f>
        <v>0</v>
      </c>
      <c r="I9" s="19">
        <f>SUMPRODUCT(('Minhas Entradas e Saidas'!$E$3:$E$50=$B9)*(MONTH('Minhas Entradas e Saidas'!$B$3:$B$50)=MONTH(1&amp;Tabela1[[#Headers],[Julho]]))*('Minhas Entradas e Saidas'!$F$3:$F$50))</f>
        <v>0</v>
      </c>
      <c r="J9" s="19">
        <f>SUMPRODUCT(('Minhas Entradas e Saidas'!$E$3:$E$50=$B9)*(MONTH('Minhas Entradas e Saidas'!$B$3:$B$50)=MONTH(1&amp;Tabela1[[#Headers],[Agosto]]))*('Minhas Entradas e Saidas'!$F$3:$F$50))</f>
        <v>0</v>
      </c>
      <c r="K9" s="19">
        <f>SUMPRODUCT(('Minhas Entradas e Saidas'!$E$3:$E$50=$B9)*(MONTH('Minhas Entradas e Saidas'!$B$3:$B$50)=MONTH(1&amp;Tabela1[[#Headers],[Setembro]]))*('Minhas Entradas e Saidas'!$F$3:$F$50))</f>
        <v>0</v>
      </c>
      <c r="L9" s="19">
        <f>SUMPRODUCT(('Minhas Entradas e Saidas'!$E$3:$E$50=$B9)*(MONTH('Minhas Entradas e Saidas'!$B$3:$B$50)=MONTH(1&amp;Tabela1[[#Headers],[Outubro]]))*('Minhas Entradas e Saidas'!$F$3:$F$50))</f>
        <v>0</v>
      </c>
      <c r="M9" s="19">
        <f>SUMPRODUCT(('Minhas Entradas e Saidas'!$E$3:$E$50=$B9)*(MONTH('Minhas Entradas e Saidas'!$B$3:$B$50)=MONTH(1&amp;Tabela1[[#Headers],[Novembro]]))*('Minhas Entradas e Saidas'!$F$3:$F$50))</f>
        <v>0</v>
      </c>
      <c r="N9" s="19">
        <f>SUMPRODUCT(('Minhas Entradas e Saidas'!$E$3:$E$50=$B9)*(MONTH('Minhas Entradas e Saidas'!$B$3:$B$50)=MONTH(1&amp;Tabela1[[#Headers],[Dezembro]]))*('Minhas Entradas e Saidas'!$F$3:$F$50))</f>
        <v>0</v>
      </c>
    </row>
    <row r="10" spans="2:14">
      <c r="B10" s="1"/>
      <c r="C10" s="44">
        <f>SUMPRODUCT(('Minhas Entradas e Saidas'!$E$3:$E$50=$B10)*(MONTH('Minhas Entradas e Saidas'!$B$3:$B$50)=MONTH(1&amp;Tabela1[[#Headers],[Janeiro]]))*('Minhas Entradas e Saidas'!$F$3:$F$50))</f>
        <v>0</v>
      </c>
      <c r="D10" s="44">
        <f>SUMPRODUCT(('Minhas Entradas e Saidas'!$E$3:$E$50=$B10)*(MONTH('Minhas Entradas e Saidas'!$B$3:$B$50)=MONTH(1&amp;Tabela1[[#Headers],[Fevereiro]]))*('Minhas Entradas e Saidas'!$F$3:$F$50))</f>
        <v>0</v>
      </c>
      <c r="E10" s="19">
        <f>SUMPRODUCT(('Minhas Entradas e Saidas'!$E$3:$E$50=$B10)*(MONTH('Minhas Entradas e Saidas'!$B$3:$B$50)=MONTH(1&amp;Tabela1[[#Headers],[Março]]))*('Minhas Entradas e Saidas'!$F$3:$F$50))</f>
        <v>0</v>
      </c>
      <c r="F10" s="19">
        <f>SUMPRODUCT(('Minhas Entradas e Saidas'!$E$3:$E$50=$B10)*(MONTH('Minhas Entradas e Saidas'!$B$3:$B$50)=MONTH(1&amp;Tabela1[[#Headers],[Abril]]))*('Minhas Entradas e Saidas'!$F$3:$F$50))</f>
        <v>0</v>
      </c>
      <c r="G10" s="19">
        <f>SUMPRODUCT(('Minhas Entradas e Saidas'!$E$3:$E$50=$B10)*(MONTH('Minhas Entradas e Saidas'!$B$3:$B$50)=MONTH(1&amp;Tabela1[[#Headers],[Maio]]))*('Minhas Entradas e Saidas'!$F$3:$F$50))</f>
        <v>0</v>
      </c>
      <c r="H10" s="19">
        <f>SUMPRODUCT(('Minhas Entradas e Saidas'!$E$3:$E$50=$B10)*(MONTH('Minhas Entradas e Saidas'!$B$3:$B$50)=MONTH(1&amp;Tabela1[[#Headers],[Junho]]))*('Minhas Entradas e Saidas'!$F$3:$F$50))</f>
        <v>0</v>
      </c>
      <c r="I10" s="19">
        <f>SUMPRODUCT(('Minhas Entradas e Saidas'!$E$3:$E$50=$B10)*(MONTH('Minhas Entradas e Saidas'!$B$3:$B$50)=MONTH(1&amp;Tabela1[[#Headers],[Julho]]))*('Minhas Entradas e Saidas'!$F$3:$F$50))</f>
        <v>0</v>
      </c>
      <c r="J10" s="19">
        <f>SUMPRODUCT(('Minhas Entradas e Saidas'!$E$3:$E$50=$B10)*(MONTH('Minhas Entradas e Saidas'!$B$3:$B$50)=MONTH(1&amp;Tabela1[[#Headers],[Agosto]]))*('Minhas Entradas e Saidas'!$F$3:$F$50))</f>
        <v>0</v>
      </c>
      <c r="K10" s="19">
        <f>SUMPRODUCT(('Minhas Entradas e Saidas'!$E$3:$E$50=$B10)*(MONTH('Minhas Entradas e Saidas'!$B$3:$B$50)=MONTH(1&amp;Tabela1[[#Headers],[Setembro]]))*('Minhas Entradas e Saidas'!$F$3:$F$50))</f>
        <v>0</v>
      </c>
      <c r="L10" s="19">
        <f>SUMPRODUCT(('Minhas Entradas e Saidas'!$E$3:$E$50=$B10)*(MONTH('Minhas Entradas e Saidas'!$B$3:$B$50)=MONTH(1&amp;Tabela1[[#Headers],[Outubro]]))*('Minhas Entradas e Saidas'!$F$3:$F$50))</f>
        <v>0</v>
      </c>
      <c r="M10" s="19">
        <f>SUMPRODUCT(('Minhas Entradas e Saidas'!$E$3:$E$50=$B10)*(MONTH('Minhas Entradas e Saidas'!$B$3:$B$50)=MONTH(1&amp;Tabela1[[#Headers],[Novembro]]))*('Minhas Entradas e Saidas'!$F$3:$F$50))</f>
        <v>0</v>
      </c>
      <c r="N10" s="19">
        <f>SUMPRODUCT(('Minhas Entradas e Saidas'!$E$3:$E$50=$B10)*(MONTH('Minhas Entradas e Saidas'!$B$3:$B$50)=MONTH(1&amp;Tabela1[[#Headers],[Dezembro]]))*('Minhas Entradas e Saidas'!$F$3:$F$50))</f>
        <v>0</v>
      </c>
    </row>
    <row r="11" spans="2:14">
      <c r="B11" s="35" t="s">
        <v>9</v>
      </c>
      <c r="C11" s="55">
        <f>SUMPRODUCT(('Minhas Entradas e Saidas'!$E$3:$E$50=$B11)*(MONTH('Minhas Entradas e Saidas'!$B$3:$B$50)=MONTH(1&amp;Tabela1[[#Headers],[Janeiro]]))*('Minhas Entradas e Saidas'!$F$3:$F$50))</f>
        <v>0</v>
      </c>
      <c r="D11" s="55"/>
      <c r="E11" s="36">
        <f>SUM(E2:E10)</f>
        <v>570.76</v>
      </c>
      <c r="F11" s="36">
        <f t="shared" ref="F11:N11" si="0">SUM(F2:F10)</f>
        <v>150.31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</row>
    <row r="12" spans="2:1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>
      <c r="B13" s="54" t="s">
        <v>136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2:14">
      <c r="B14" s="1" t="s">
        <v>8</v>
      </c>
      <c r="C14" s="1" t="s">
        <v>51</v>
      </c>
      <c r="D14" s="1" t="s">
        <v>52</v>
      </c>
      <c r="E14" s="1" t="s">
        <v>73</v>
      </c>
      <c r="F14" s="1" t="s">
        <v>74</v>
      </c>
      <c r="G14" s="1" t="s">
        <v>53</v>
      </c>
      <c r="H14" s="1" t="s">
        <v>54</v>
      </c>
      <c r="I14" s="1" t="s">
        <v>55</v>
      </c>
      <c r="J14" s="1" t="s">
        <v>56</v>
      </c>
      <c r="K14" s="1" t="s">
        <v>57</v>
      </c>
      <c r="L14" s="1" t="s">
        <v>58</v>
      </c>
      <c r="M14" s="1" t="s">
        <v>59</v>
      </c>
      <c r="N14" s="1" t="s">
        <v>60</v>
      </c>
    </row>
    <row r="15" spans="2:14">
      <c r="B15" s="1" t="s">
        <v>1</v>
      </c>
      <c r="C15" s="1"/>
      <c r="D15" s="1"/>
      <c r="E15" s="1">
        <f>IF(COLUMN()-3&lt;=Vendas!$F$3,Vendas!$I$3/Vendas!$F$3,"")</f>
        <v>46.34</v>
      </c>
      <c r="F15" s="1">
        <f>IF(COLUMN()-3&lt;=Vendas!$F$3,Vendas!$I$3/Vendas!$F$3,"")</f>
        <v>46.34</v>
      </c>
      <c r="G15" s="1" t="str">
        <f>IF(COLUMN()-3&lt;=Vendas!$F$3,Vendas!$I$3/Vendas!$F$3,"")</f>
        <v/>
      </c>
      <c r="H15" s="1" t="str">
        <f>IF(COLUMN()-3&lt;=Vendas!$F$3,Vendas!$I$3/Vendas!$F$3,"")</f>
        <v/>
      </c>
      <c r="I15" s="1"/>
      <c r="J15" s="1"/>
      <c r="K15" s="1"/>
      <c r="L15" s="1"/>
      <c r="M15" s="1"/>
      <c r="N15" s="1"/>
    </row>
    <row r="16" spans="2:14">
      <c r="B16" s="1" t="s">
        <v>2</v>
      </c>
      <c r="C16" s="1">
        <f>SUMPRODUCT((MONTH('Minhas Entradas e Saidas'!$B$3:$B$103)=3)*('Minhas Entradas e Saidas'!$F$3:$F$103)*('Minhas Entradas e Saidas'!$D$3:$D$103="Paulo"))</f>
        <v>130.42000000000002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>
      <c r="B17" s="1" t="s">
        <v>3</v>
      </c>
      <c r="C17" s="1">
        <f>SUMPRODUCT((MONTH('Minhas Entradas e Saidas'!$B$3:$B$103)=3)*('Minhas Entradas e Saidas'!$F$3:$F$103)*('Minhas Entradas e Saidas'!$D$3:$D$103="Irmã"))</f>
        <v>138.55000000000001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 t="s">
        <v>4</v>
      </c>
      <c r="C18" s="1">
        <f>SUMPRODUCT((MONTH('Minhas Entradas e Saidas'!$B$3:$B$103)=3)*('Minhas Entradas e Saidas'!$F$3:$F$103)*('Minhas Entradas e Saidas'!$D$3:$D$103="Dione"))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 t="s">
        <v>5</v>
      </c>
      <c r="C19" s="1">
        <f>SUMPRODUCT((MONTH('Minhas Entradas e Saidas'!$B$3:$B$103)=3)*('Minhas Entradas e Saidas'!$F$3:$F$103)*('Minhas Entradas e Saidas'!$D$3:$D$103="Patricia"))</f>
        <v>69.900000000000006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 t="s">
        <v>6</v>
      </c>
      <c r="C20" s="1">
        <f>SUMPRODUCT((MONTH('Minhas Entradas e Saidas'!$B$3:$B$103)=3)*('Minhas Entradas e Saidas'!$F$3:$F$103)*('Minhas Entradas e Saidas'!$D$3:$D$103="Allan"))</f>
        <v>40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 t="s">
        <v>7</v>
      </c>
      <c r="C21" s="1">
        <f>SUMPRODUCT((MONTH('Minhas Entradas e Saidas'!$B$3:$B$103)=3)*('Minhas Entradas e Saidas'!$F$3:$F$103)*('Minhas Entradas e Saidas'!$D$3:$D$103="Fernandinho"))</f>
        <v>322.09000000000003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s="1" t="s">
        <v>42</v>
      </c>
      <c r="C22" s="1">
        <f>SUMPRODUCT((MONTH('Minhas Entradas e Saidas'!$B$3:$B$103)=3)*('Minhas Entradas e Saidas'!$F$3:$F$103)*('Minhas Entradas e Saidas'!$D$3:$D$103="Iva"))</f>
        <v>31.42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>
      <c r="B23" s="1" t="s">
        <v>87</v>
      </c>
      <c r="C23" s="1">
        <f>SUMPRODUCT((MONTH('Minhas Entradas e Saidas'!$B$3:$B$103)=3)*('Minhas Entradas e Saidas'!$F$3:$F$103)*('Minhas Entradas e Saidas'!$D$3:$D$103="Norberto"))</f>
        <v>1626.92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">
    <mergeCell ref="B13:N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E11" calculatedColumn="1"/>
  </ignoredErrors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20"/>
  <sheetViews>
    <sheetView workbookViewId="0"/>
  </sheetViews>
  <sheetFormatPr defaultRowHeight="14.4"/>
  <cols>
    <col min="1" max="1" width="3" customWidth="1"/>
    <col min="3" max="3" width="10.109375" customWidth="1"/>
    <col min="4" max="4" width="12.6640625" customWidth="1"/>
    <col min="5" max="5" width="15.33203125" style="1" customWidth="1"/>
    <col min="6" max="6" width="18.44140625" style="1" customWidth="1"/>
    <col min="7" max="7" width="21.5546875" style="1" customWidth="1"/>
    <col min="8" max="8" width="13.109375" style="19" customWidth="1"/>
    <col min="9" max="9" width="15.109375" style="19" customWidth="1"/>
    <col min="10" max="10" width="14.88671875" style="1" customWidth="1"/>
    <col min="11" max="11" width="13.6640625" style="1" customWidth="1"/>
    <col min="12" max="12" width="12.33203125" customWidth="1"/>
  </cols>
  <sheetData>
    <row r="2" spans="2:12">
      <c r="B2" s="1" t="s">
        <v>127</v>
      </c>
      <c r="C2" s="1" t="s">
        <v>17</v>
      </c>
      <c r="D2" s="1" t="s">
        <v>8</v>
      </c>
      <c r="E2" s="1" t="s">
        <v>12</v>
      </c>
      <c r="F2" s="1" t="s">
        <v>131</v>
      </c>
      <c r="G2" s="1" t="s">
        <v>132</v>
      </c>
      <c r="H2" s="19" t="s">
        <v>9</v>
      </c>
      <c r="I2" s="19" t="s">
        <v>130</v>
      </c>
      <c r="L2" s="1"/>
    </row>
    <row r="3" spans="2:12">
      <c r="B3" s="45">
        <v>43525</v>
      </c>
      <c r="C3" s="1">
        <f>IF(ISERROR(LOOKUP(E3,Vendas!$B$3:$C$100)),"",(LOOKUP(E3,Vendas!$B$3:$C$100)))</f>
        <v>6</v>
      </c>
      <c r="D3" s="1" t="str">
        <f>IF(ISERROR(VLOOKUP(C3,Cadastro!$D$3:$E$100,2,0)),"",(VLOOKUP(C3,Cadastro!$D$3:$E$100,2,0)))</f>
        <v>Allan</v>
      </c>
      <c r="E3" s="1">
        <v>1</v>
      </c>
      <c r="F3" s="1">
        <f>IF(ISERROR(LOOKUP(E3,Vendas!$B$3:$F$100)),"",(LOOKUP(E3,Vendas!$B$3:$F$100)))</f>
        <v>3</v>
      </c>
      <c r="G3" s="1">
        <f>SUM(-(COUNTIFS(Entradas!$D$3:$D$100,1)),F3)</f>
        <v>3</v>
      </c>
      <c r="H3" s="19">
        <f>IF(ISERROR(LOOKUP(E3,Vendas!$B$3:$H$100)),"",(LOOKUP(E3,Vendas!$B$3:$H$100)))</f>
        <v>46.34</v>
      </c>
      <c r="I3" s="19">
        <f>(H3*G3)</f>
        <v>139.02000000000001</v>
      </c>
      <c r="L3" s="1"/>
    </row>
    <row r="4" spans="2:12">
      <c r="B4" s="45">
        <v>43525</v>
      </c>
      <c r="C4" s="1">
        <f>IF(ISERROR(LOOKUP(E4,Vendas!$B$3:$C$100)),"",(LOOKUP(E4,Vendas!$B$3:$C$100)))</f>
        <v>5</v>
      </c>
      <c r="D4" s="1" t="str">
        <f>IF(ISERROR(VLOOKUP(C4,Cadastro!$D$3:$E$100,2,0)),"",(VLOOKUP(C4,Cadastro!$D$3:$E$100,2,0)))</f>
        <v>Patricia</v>
      </c>
      <c r="E4" s="1">
        <v>2</v>
      </c>
      <c r="F4" s="1">
        <f>IF(ISERROR(LOOKUP(E4,Vendas!$B$3:$F$100)),"",(LOOKUP(E4,Vendas!$B$3:$F$100)))</f>
        <v>6</v>
      </c>
      <c r="G4" s="1">
        <f>SUM(-(COUNTIFS(Entradas!$D$3:$D$100,2)),F4)</f>
        <v>6</v>
      </c>
      <c r="H4" s="19">
        <f>IF(ISERROR(LOOKUP(E4,Vendas!$B$3:$H$100)),"",(LOOKUP(E4,Vendas!$B$3:$H$100)))</f>
        <v>69.900000000000006</v>
      </c>
      <c r="I4" s="19">
        <f t="shared" ref="I4:I67" si="0">(H4*G4)</f>
        <v>419.40000000000003</v>
      </c>
      <c r="L4" s="1"/>
    </row>
    <row r="5" spans="2:12">
      <c r="B5" s="45">
        <v>43525</v>
      </c>
      <c r="C5" s="1">
        <f>IF(ISERROR(LOOKUP(E5,Vendas!$B$3:$C$100)),"",(LOOKUP(E5,Vendas!$B$3:$C$100)))</f>
        <v>1</v>
      </c>
      <c r="D5" s="1" t="str">
        <f>IF(ISERROR(VLOOKUP(C5,Cadastro!$D$3:$E$100,2,0)),"",(VLOOKUP(C5,Cadastro!$D$3:$E$100,2,0)))</f>
        <v>Mãe</v>
      </c>
      <c r="E5" s="1">
        <v>3</v>
      </c>
      <c r="F5" s="1">
        <f>IF(ISERROR(LOOKUP(E5,Vendas!$B$3:$F$100)),"",(LOOKUP(E5,Vendas!$B$3:$F$100)))</f>
        <v>2</v>
      </c>
      <c r="G5" s="1">
        <f>SUM(-(COUNTIFS(Entradas!$D$3:$D$100,3)),F5)</f>
        <v>1</v>
      </c>
      <c r="H5" s="19">
        <f>IF(ISERROR(LOOKUP(E5,Vendas!$B$3:$H$100)),"",(LOOKUP(E5,Vendas!$B$3:$H$100)))</f>
        <v>42.5</v>
      </c>
      <c r="I5" s="19">
        <f t="shared" si="0"/>
        <v>42.5</v>
      </c>
      <c r="L5" s="1"/>
    </row>
    <row r="6" spans="2:12">
      <c r="B6" s="45">
        <v>43525</v>
      </c>
      <c r="C6" s="1">
        <f>IF(ISERROR(LOOKUP(E6,Vendas!$B$3:$C$100)),"",(LOOKUP(E6,Vendas!$B$3:$C$100)))</f>
        <v>2</v>
      </c>
      <c r="D6" s="1" t="str">
        <f>IF(ISERROR(VLOOKUP(C6,Cadastro!$D$3:$E$100,2,0)),"",(VLOOKUP(C6,Cadastro!$D$3:$E$100,2,0)))</f>
        <v>Paulo</v>
      </c>
      <c r="E6" s="1">
        <v>4</v>
      </c>
      <c r="F6" s="1">
        <f>IF(ISERROR(LOOKUP(E6,Vendas!$B$3:$F$100)),"",(LOOKUP(E6,Vendas!$B$3:$F$100)))</f>
        <v>7</v>
      </c>
      <c r="G6" s="1">
        <f>SUM(-(COUNTIFS(Entradas!$D$3:$D$100,4)),F6)</f>
        <v>7</v>
      </c>
      <c r="H6" s="19">
        <f>IF(ISERROR(LOOKUP(E6,Vendas!$B$3:$H$100)),"",(LOOKUP(E6,Vendas!$B$3:$H$100)))</f>
        <v>77.42</v>
      </c>
      <c r="I6" s="19">
        <f t="shared" si="0"/>
        <v>541.94000000000005</v>
      </c>
      <c r="L6" s="1"/>
    </row>
    <row r="7" spans="2:12">
      <c r="B7" s="45">
        <v>43525</v>
      </c>
      <c r="C7" s="1">
        <f>IF(ISERROR(LOOKUP(E7,Vendas!$B$3:$C$100)),"",(LOOKUP(E7,Vendas!$B$3:$C$100)))</f>
        <v>3</v>
      </c>
      <c r="D7" s="1" t="str">
        <f>IF(ISERROR(VLOOKUP(C7,Cadastro!$D$3:$E$100,2,0)),"",(VLOOKUP(C7,Cadastro!$D$3:$E$100,2,0)))</f>
        <v>Irmã</v>
      </c>
      <c r="E7" s="1">
        <v>5</v>
      </c>
      <c r="F7" s="1">
        <f>IF(ISERROR(LOOKUP(E7,Vendas!$B$3:$F$100)),"",(LOOKUP(E7,Vendas!$B$3:$F$100)))</f>
        <v>6</v>
      </c>
      <c r="G7" s="1">
        <f>SUM(-(COUNTIFS(Entradas!$D$3:$D$100,5)),F7)</f>
        <v>5</v>
      </c>
      <c r="H7" s="19">
        <f>IF(ISERROR(LOOKUP(E7,Vendas!$B$3:$H$100)),"",(LOOKUP(E7,Vendas!$B$3:$H$100)))</f>
        <v>102.5</v>
      </c>
      <c r="I7" s="19">
        <f t="shared" si="0"/>
        <v>512.5</v>
      </c>
      <c r="L7" s="1"/>
    </row>
    <row r="8" spans="2:12">
      <c r="B8" s="45">
        <v>43525</v>
      </c>
      <c r="C8" s="1">
        <f>IF(ISERROR(LOOKUP(E8,Vendas!$B$3:$C$100)),"",(LOOKUP(E8,Vendas!$B$3:$C$100)))</f>
        <v>2</v>
      </c>
      <c r="D8" s="1" t="str">
        <f>IF(ISERROR(VLOOKUP(C8,Cadastro!$D$3:$E$100,2,0)),"",(VLOOKUP(C8,Cadastro!$D$3:$E$100,2,0)))</f>
        <v>Paulo</v>
      </c>
      <c r="E8" s="1">
        <v>6</v>
      </c>
      <c r="F8" s="1">
        <f>IF(ISERROR(LOOKUP(E8,Vendas!$B$3:$F$100)),"",(LOOKUP(E8,Vendas!$B$3:$F$100)))</f>
        <v>5</v>
      </c>
      <c r="G8" s="1">
        <f>SUM(-(COUNTIFS(Entradas!$D$3:$D$100,6)),F8)</f>
        <v>5</v>
      </c>
      <c r="H8" s="19">
        <f>IF(ISERROR(LOOKUP(E8,Vendas!$B$3:$H$100)),"",(LOOKUP(E8,Vendas!$B$3:$H$100)))</f>
        <v>58.3</v>
      </c>
      <c r="I8" s="19">
        <f t="shared" si="0"/>
        <v>291.5</v>
      </c>
      <c r="L8" s="1"/>
    </row>
    <row r="9" spans="2:12">
      <c r="B9" s="45">
        <v>43525</v>
      </c>
      <c r="C9" s="1">
        <f>IF(ISERROR(LOOKUP(E9,Vendas!$B$3:$C$100)),"",(LOOKUP(E9,Vendas!$B$3:$C$100)))</f>
        <v>6</v>
      </c>
      <c r="D9" s="1" t="str">
        <f>IF(ISERROR(VLOOKUP(C9,Cadastro!$D$3:$E$100,2,0)),"",(VLOOKUP(C9,Cadastro!$D$3:$E$100,2,0)))</f>
        <v>Allan</v>
      </c>
      <c r="E9" s="1">
        <v>7</v>
      </c>
      <c r="F9" s="1">
        <f>IF(ISERROR(LOOKUP(E9,Vendas!$B$3:$F$100)),"",(LOOKUP(E9,Vendas!$B$3:$F$100)))</f>
        <v>1</v>
      </c>
      <c r="G9" s="1">
        <f>SUM(-(COUNTIFS(Entradas!$D$3:$D$100,7)),F9)</f>
        <v>0</v>
      </c>
      <c r="H9" s="19">
        <f>IF(ISERROR(LOOKUP(E9,Vendas!$B$3:$H$100)),"",(LOOKUP(E9,Vendas!$B$3:$H$100)))</f>
        <v>62</v>
      </c>
      <c r="I9" s="19">
        <f t="shared" si="0"/>
        <v>0</v>
      </c>
      <c r="L9" s="1"/>
    </row>
    <row r="10" spans="2:12">
      <c r="B10" s="45">
        <v>43525</v>
      </c>
      <c r="C10" s="1">
        <f>IF(ISERROR(LOOKUP(E10,Vendas!$B$3:$C$100)),"",(LOOKUP(E10,Vendas!$B$3:$C$100)))</f>
        <v>7</v>
      </c>
      <c r="D10" s="1" t="str">
        <f>IF(ISERROR(VLOOKUP(C10,Cadastro!$D$3:$E$100,2,0)),"",(VLOOKUP(C10,Cadastro!$D$3:$E$100,2,0)))</f>
        <v>Fernandinho</v>
      </c>
      <c r="E10" s="1">
        <v>8</v>
      </c>
      <c r="F10" s="1">
        <f>IF(ISERROR(LOOKUP(E10,Vendas!$B$3:$F$100)),"",(LOOKUP(E10,Vendas!$B$3:$F$100)))</f>
        <v>6</v>
      </c>
      <c r="G10" s="1">
        <f>SUM(-(COUNTIFS(Entradas!$D$3:$D$100,8)),F10)</f>
        <v>5</v>
      </c>
      <c r="H10" s="19">
        <f>IF(ISERROR(LOOKUP(E10,Vendas!$B$3:$H$100)),"",(LOOKUP(E10,Vendas!$B$3:$H$100)))</f>
        <v>220.19</v>
      </c>
      <c r="I10" s="19">
        <f t="shared" si="0"/>
        <v>1100.95</v>
      </c>
      <c r="L10" s="1"/>
    </row>
    <row r="11" spans="2:12">
      <c r="B11" s="45">
        <v>43525</v>
      </c>
      <c r="C11" s="1">
        <f>IF(ISERROR(LOOKUP(E11,Vendas!$B$3:$C$100)),"",(LOOKUP(E11,Vendas!$B$3:$C$100)))</f>
        <v>1</v>
      </c>
      <c r="D11" s="1" t="str">
        <f>IF(ISERROR(VLOOKUP(C11,Cadastro!$D$3:$E$100,2,0)),"",(VLOOKUP(C11,Cadastro!$D$3:$E$100,2,0)))</f>
        <v>Mãe</v>
      </c>
      <c r="E11" s="1">
        <v>9</v>
      </c>
      <c r="F11" s="1">
        <f>IF(ISERROR(LOOKUP(E11,Vendas!$B$3:$F$100)),"",(LOOKUP(E11,Vendas!$B$3:$F$100)))</f>
        <v>2</v>
      </c>
      <c r="G11" s="1">
        <f>SUM(-(COUNTIFS(Entradas!$D$3:$D$100,9)),F11)</f>
        <v>1</v>
      </c>
      <c r="H11" s="19">
        <f>IF(ISERROR(LOOKUP(E11,Vendas!$B$3:$H$100)),"",(LOOKUP(E11,Vendas!$B$3:$H$100)))</f>
        <v>47.8</v>
      </c>
      <c r="I11" s="19">
        <f t="shared" si="0"/>
        <v>47.8</v>
      </c>
      <c r="L11" s="1"/>
    </row>
    <row r="12" spans="2:12">
      <c r="B12" s="45">
        <v>43525</v>
      </c>
      <c r="C12" s="1">
        <f>IF(ISERROR(LOOKUP(E12,Vendas!$B$3:$C$100)),"",(LOOKUP(E12,Vendas!$B$3:$C$100)))</f>
        <v>6</v>
      </c>
      <c r="D12" s="1" t="str">
        <f>IF(ISERROR(VLOOKUP(C12,Cadastro!$D$3:$E$100,2,0)),"",(VLOOKUP(C12,Cadastro!$D$3:$E$100,2,0)))</f>
        <v>Allan</v>
      </c>
      <c r="E12" s="1">
        <v>10</v>
      </c>
      <c r="F12" s="1">
        <f>IF(ISERROR(LOOKUP(E12,Vendas!$B$3:$F$100)),"",(LOOKUP(E12,Vendas!$B$3:$F$100)))</f>
        <v>3</v>
      </c>
      <c r="G12" s="1">
        <f>SUM(-(COUNTIFS(Entradas!$D$3:$D$100,10)),F12)</f>
        <v>2</v>
      </c>
      <c r="H12" s="19">
        <f>IF(ISERROR(LOOKUP(E12,Vendas!$B$3:$H$100)),"",(LOOKUP(E12,Vendas!$B$3:$H$100)))</f>
        <v>33.99</v>
      </c>
      <c r="I12" s="19">
        <f t="shared" si="0"/>
        <v>67.98</v>
      </c>
      <c r="L12" s="1"/>
    </row>
    <row r="13" spans="2:12">
      <c r="B13" s="45">
        <v>43525</v>
      </c>
      <c r="C13" s="1">
        <f>IF(ISERROR(LOOKUP(E13,Vendas!$B$3:$C$100)),"",(LOOKUP(E13,Vendas!$B$3:$C$100)))</f>
        <v>2</v>
      </c>
      <c r="D13" s="1" t="str">
        <f>IF(ISERROR(VLOOKUP(C13,Cadastro!$D$3:$E$100,2,0)),"",(VLOOKUP(C13,Cadastro!$D$3:$E$100,2,0)))</f>
        <v>Paulo</v>
      </c>
      <c r="E13" s="1">
        <v>11</v>
      </c>
      <c r="F13" s="1">
        <f>IF(ISERROR(LOOKUP(E13,Vendas!$B$3:$F$100)),"",(LOOKUP(E13,Vendas!$B$3:$F$100)))</f>
        <v>5</v>
      </c>
      <c r="G13" s="1">
        <f>SUM(-(COUNTIFS(Entradas!$D$3:$D$100,11)),F13)</f>
        <v>5</v>
      </c>
      <c r="H13" s="19">
        <f>IF(ISERROR(LOOKUP(E13,Vendas!$B$3:$H$100)),"",(LOOKUP(E13,Vendas!$B$3:$H$100)))</f>
        <v>25</v>
      </c>
      <c r="I13" s="19">
        <f t="shared" si="0"/>
        <v>125</v>
      </c>
      <c r="L13" s="1"/>
    </row>
    <row r="14" spans="2:12">
      <c r="B14" s="45">
        <v>43525</v>
      </c>
      <c r="C14" s="1">
        <f>IF(ISERROR(LOOKUP(E14,Vendas!$B$3:$C$100)),"",(LOOKUP(E14,Vendas!$B$3:$C$100)))</f>
        <v>8</v>
      </c>
      <c r="D14" s="1" t="str">
        <f>IF(ISERROR(VLOOKUP(C14,Cadastro!$D$3:$E$100,2,0)),"",(VLOOKUP(C14,Cadastro!$D$3:$E$100,2,0)))</f>
        <v>Iva</v>
      </c>
      <c r="E14" s="1">
        <v>12</v>
      </c>
      <c r="F14" s="1">
        <f>IF(ISERROR(LOOKUP(E14,Vendas!$B$3:$F$100)),"",(LOOKUP(E14,Vendas!$B$3:$F$100)))</f>
        <v>4</v>
      </c>
      <c r="G14" s="1">
        <f>SUM(-(COUNTIFS(Entradas!$D$3:$D$100,12)),F14)</f>
        <v>4</v>
      </c>
      <c r="H14" s="19">
        <f>IF(ISERROR(LOOKUP(E14,Vendas!$B$3:$H$100)),"",(LOOKUP(E14,Vendas!$B$3:$H$100)))</f>
        <v>31.42</v>
      </c>
      <c r="I14" s="19">
        <f t="shared" si="0"/>
        <v>125.68</v>
      </c>
      <c r="L14" s="1"/>
    </row>
    <row r="15" spans="2:12">
      <c r="B15" s="45">
        <v>43525</v>
      </c>
      <c r="C15" s="1">
        <f>IF(ISERROR(LOOKUP(E15,Vendas!$B$3:$C$100)),"",(LOOKUP(E15,Vendas!$B$3:$C$100)))</f>
        <v>2</v>
      </c>
      <c r="D15" s="1" t="str">
        <f>IF(ISERROR(VLOOKUP(C15,Cadastro!$D$3:$E$100,2,0)),"",(VLOOKUP(C15,Cadastro!$D$3:$E$100,2,0)))</f>
        <v>Paulo</v>
      </c>
      <c r="E15" s="1">
        <v>13</v>
      </c>
      <c r="F15" s="1">
        <f>IF(ISERROR(LOOKUP(E15,Vendas!$B$3:$F$100)),"",(LOOKUP(E15,Vendas!$B$3:$F$100)))</f>
        <v>10</v>
      </c>
      <c r="G15" s="1">
        <f>SUM(-(COUNTIFS(Entradas!$D$3:$D$100,13)),F15)</f>
        <v>10</v>
      </c>
      <c r="H15" s="19">
        <f>IF(ISERROR(LOOKUP(E15,Vendas!$B$3:$H$100)),"",(LOOKUP(E15,Vendas!$B$3:$H$100)))</f>
        <v>100</v>
      </c>
      <c r="I15" s="19">
        <f t="shared" si="0"/>
        <v>1000</v>
      </c>
      <c r="L15" s="1"/>
    </row>
    <row r="16" spans="2:12">
      <c r="B16" s="45">
        <v>43525</v>
      </c>
      <c r="C16" s="1">
        <f>IF(ISERROR(LOOKUP(E16,Vendas!$B$3:$C$100)),"",(LOOKUP(E16,Vendas!$B$3:$C$100)))</f>
        <v>7</v>
      </c>
      <c r="D16" s="1" t="str">
        <f>IF(ISERROR(VLOOKUP(C16,Cadastro!$D$3:$E$100,2,0)),"",(VLOOKUP(C16,Cadastro!$D$3:$E$100,2,0)))</f>
        <v>Fernandinho</v>
      </c>
      <c r="E16" s="1">
        <v>14</v>
      </c>
      <c r="F16" s="1">
        <f>IF(ISERROR(LOOKUP(E16,Vendas!$B$3:$F$100)),"",(LOOKUP(E16,Vendas!$B$3:$F$100)))</f>
        <v>9</v>
      </c>
      <c r="G16" s="1">
        <f>SUM(-(COUNTIFS(Entradas!$D$3:$D$100,14)),F16)</f>
        <v>9</v>
      </c>
      <c r="H16" s="19">
        <f>IF(ISERROR(LOOKUP(E16,Vendas!$B$3:$H$100)),"",(LOOKUP(E16,Vendas!$B$3:$H$100)))</f>
        <v>26.9</v>
      </c>
      <c r="I16" s="19">
        <f t="shared" si="0"/>
        <v>242.1</v>
      </c>
      <c r="L16" s="1"/>
    </row>
    <row r="17" spans="2:12">
      <c r="B17" s="45">
        <v>43525</v>
      </c>
      <c r="C17" s="1">
        <f>IF(ISERROR(LOOKUP(E17,Vendas!$B$3:$C$100)),"",(LOOKUP(E17,Vendas!$B$3:$C$100)))</f>
        <v>4</v>
      </c>
      <c r="D17" s="1" t="str">
        <f>IF(ISERROR(VLOOKUP(C17,Cadastro!$D$3:$E$100,2,0)),"",(VLOOKUP(C17,Cadastro!$D$3:$E$100,2,0)))</f>
        <v>Dione</v>
      </c>
      <c r="E17" s="1">
        <v>15</v>
      </c>
      <c r="F17" s="1">
        <f>IF(ISERROR(LOOKUP(E17,Vendas!$B$3:$F$100)),"",(LOOKUP(E17,Vendas!$B$3:$F$100)))</f>
        <v>5</v>
      </c>
      <c r="G17" s="1">
        <f>SUM(-(COUNTIFS(Entradas!$D$3:$D$100,15)),F17)</f>
        <v>5</v>
      </c>
      <c r="H17" s="19">
        <f>IF(ISERROR(LOOKUP(E17,Vendas!$B$3:$H$100)),"",(LOOKUP(E17,Vendas!$B$3:$H$100)))</f>
        <v>176.8</v>
      </c>
      <c r="I17" s="19">
        <f t="shared" si="0"/>
        <v>884</v>
      </c>
      <c r="L17" s="1"/>
    </row>
    <row r="18" spans="2:12">
      <c r="B18" s="45">
        <v>43525</v>
      </c>
      <c r="C18" s="1">
        <f>IF(ISERROR(LOOKUP(E18,Vendas!$B$3:$C$100)),"",(LOOKUP(E18,Vendas!$B$3:$C$100)))</f>
        <v>5</v>
      </c>
      <c r="D18" s="1" t="str">
        <f>IF(ISERROR(VLOOKUP(C18,Cadastro!$D$3:$E$100,2,0)),"",(VLOOKUP(C18,Cadastro!$D$3:$E$100,2,0)))</f>
        <v>Patricia</v>
      </c>
      <c r="E18" s="1">
        <v>2</v>
      </c>
      <c r="F18" s="1">
        <f>IF(ISERROR(LOOKUP(E18,Vendas!$B$3:$F$100)),"",(LOOKUP(E18,Vendas!$B$3:$F$100)))</f>
        <v>6</v>
      </c>
      <c r="G18" s="1">
        <f>SUM(-(COUNTIFS(Entradas!$D$3:$D$100,16)),F18)</f>
        <v>6</v>
      </c>
      <c r="H18" s="19">
        <f>IF(ISERROR(LOOKUP(E18,Vendas!$B$3:$H$100)),"",(LOOKUP(E18,Vendas!$B$3:$H$100)))</f>
        <v>69.900000000000006</v>
      </c>
      <c r="I18" s="19">
        <f t="shared" si="0"/>
        <v>419.40000000000003</v>
      </c>
      <c r="L18" s="1"/>
    </row>
    <row r="19" spans="2:12">
      <c r="B19" s="45">
        <v>43525</v>
      </c>
      <c r="C19" s="1">
        <f>IF(ISERROR(LOOKUP(E19,Vendas!$B$3:$C$100)),"",(LOOKUP(E19,Vendas!$B$3:$C$100)))</f>
        <v>3</v>
      </c>
      <c r="D19" s="1" t="str">
        <f>IF(ISERROR(VLOOKUP(C19,Cadastro!$D$3:$E$100,2,0)),"",(VLOOKUP(C19,Cadastro!$D$3:$E$100,2,0)))</f>
        <v>Irmã</v>
      </c>
      <c r="E19" s="1">
        <v>17</v>
      </c>
      <c r="F19" s="1">
        <f>IF(ISERROR(LOOKUP(E19,Vendas!$B$3:$F$100)),"",(LOOKUP(E19,Vendas!$B$3:$F$100)))</f>
        <v>4</v>
      </c>
      <c r="G19" s="1">
        <f>SUM(-(COUNTIFS(Entradas!$D$3:$D$100,17)),F19)</f>
        <v>4</v>
      </c>
      <c r="H19" s="19">
        <f>IF(ISERROR(LOOKUP(E19,Vendas!$B$3:$H$100)),"",(LOOKUP(E19,Vendas!$B$3:$H$100)))</f>
        <v>17.98</v>
      </c>
      <c r="I19" s="19">
        <f t="shared" si="0"/>
        <v>71.92</v>
      </c>
      <c r="L19" s="1"/>
    </row>
    <row r="20" spans="2:12">
      <c r="B20" s="45">
        <v>43525</v>
      </c>
      <c r="C20" s="1">
        <f>IF(ISERROR(LOOKUP(E20,Vendas!$B$3:$C$100)),"",(LOOKUP(E20,Vendas!$B$3:$C$100)))</f>
        <v>3</v>
      </c>
      <c r="D20" s="1" t="str">
        <f>IF(ISERROR(VLOOKUP(C20,Cadastro!$D$3:$E$100,2,0)),"",(VLOOKUP(C20,Cadastro!$D$3:$E$100,2,0)))</f>
        <v>Irmã</v>
      </c>
      <c r="E20" s="1">
        <v>18</v>
      </c>
      <c r="F20" s="1">
        <f>IF(ISERROR(LOOKUP(E20,Vendas!$B$3:$F$100)),"",(LOOKUP(E20,Vendas!$B$3:$F$100)))</f>
        <v>1</v>
      </c>
      <c r="G20" s="1">
        <f>SUM(-(COUNTIFS(Entradas!$D$3:$D$100,18)),F20)</f>
        <v>1</v>
      </c>
      <c r="H20" s="19">
        <f>IF(ISERROR(LOOKUP(E20,Vendas!$B$3:$H$100)),"",(LOOKUP(E20,Vendas!$B$3:$H$100)))</f>
        <v>36.049999999999997</v>
      </c>
      <c r="I20" s="19">
        <f t="shared" si="0"/>
        <v>36.049999999999997</v>
      </c>
      <c r="L20" s="1"/>
    </row>
    <row r="21" spans="2:12">
      <c r="B21" s="45">
        <v>43525</v>
      </c>
      <c r="C21" s="1">
        <f>IF(ISERROR(LOOKUP(E21,Vendas!$B$3:$C$100)),"",(LOOKUP(E21,Vendas!$B$3:$C$100)))</f>
        <v>1</v>
      </c>
      <c r="D21" s="1" t="str">
        <f>IF(ISERROR(VLOOKUP(C21,Cadastro!$D$3:$E$100,2,0)),"",(VLOOKUP(C21,Cadastro!$D$3:$E$100,2,0)))</f>
        <v>Mãe</v>
      </c>
      <c r="E21" s="1">
        <v>19</v>
      </c>
      <c r="F21" s="1">
        <f>IF(ISERROR(LOOKUP(E21,Vendas!$B$3:$F$100)),"",(LOOKUP(E21,Vendas!$B$3:$F$100)))</f>
        <v>5</v>
      </c>
      <c r="G21" s="1">
        <f>SUM(-(COUNTIFS(Entradas!$D$3:$D$100,19)),F21)</f>
        <v>4</v>
      </c>
      <c r="H21" s="19">
        <f>IF(ISERROR(LOOKUP(E21,Vendas!$B$3:$H$100)),"",(LOOKUP(E21,Vendas!$B$3:$H$100)))</f>
        <v>60.98</v>
      </c>
      <c r="I21" s="19">
        <f t="shared" si="0"/>
        <v>243.92</v>
      </c>
      <c r="L21" s="1"/>
    </row>
    <row r="22" spans="2:12">
      <c r="B22" s="45">
        <v>43525</v>
      </c>
      <c r="C22" s="1">
        <f>IF(ISERROR(LOOKUP(E22,Vendas!$B$3:$C$100)),"",(LOOKUP(E22,Vendas!$B$3:$C$100)))</f>
        <v>2</v>
      </c>
      <c r="D22" s="1" t="str">
        <f>IF(ISERROR(VLOOKUP(C22,Cadastro!$D$3:$E$100,2,0)),"",(VLOOKUP(C22,Cadastro!$D$3:$E$100,2,0)))</f>
        <v>Paulo</v>
      </c>
      <c r="E22" s="1">
        <v>20</v>
      </c>
      <c r="F22" s="1">
        <f>IF(ISERROR(LOOKUP(E22,Vendas!$B$3:$F$100)),"",(LOOKUP(E22,Vendas!$B$3:$F$100)))</f>
        <v>2</v>
      </c>
      <c r="G22" s="1">
        <f>SUM(-(COUNTIFS(Entradas!$D$3:$D$100,20)),F22)</f>
        <v>2</v>
      </c>
      <c r="H22" s="19">
        <f>IF(ISERROR(LOOKUP(E22,Vendas!$B$3:$H$100)),"",(LOOKUP(E22,Vendas!$B$3:$H$100)))</f>
        <v>27.1</v>
      </c>
      <c r="I22" s="19">
        <f t="shared" si="0"/>
        <v>54.2</v>
      </c>
      <c r="L22" s="1"/>
    </row>
    <row r="23" spans="2:12">
      <c r="B23" s="45">
        <v>43525</v>
      </c>
      <c r="C23" s="1">
        <f>IF(ISERROR(LOOKUP(E23,Vendas!$B$3:$C$100)),"",(LOOKUP(E23,Vendas!$B$3:$C$100)))</f>
        <v>6</v>
      </c>
      <c r="D23" s="1" t="str">
        <f>IF(ISERROR(VLOOKUP(C23,Cadastro!$D$3:$E$100,2,0)),"",(VLOOKUP(C23,Cadastro!$D$3:$E$100,2,0)))</f>
        <v>Allan</v>
      </c>
      <c r="E23" s="1">
        <v>21</v>
      </c>
      <c r="F23" s="1">
        <f>IF(ISERROR(LOOKUP(E23,Vendas!$B$3:$F$100)),"",(LOOKUP(E23,Vendas!$B$3:$F$100)))</f>
        <v>1</v>
      </c>
      <c r="G23" s="1">
        <f>SUM(-(COUNTIFS(Entradas!$D$3:$D$100,21)),F23)</f>
        <v>0</v>
      </c>
      <c r="H23" s="19">
        <f>IF(ISERROR(LOOKUP(E23,Vendas!$B$3:$H$100)),"",(LOOKUP(E23,Vendas!$B$3:$H$100)))</f>
        <v>6</v>
      </c>
      <c r="I23" s="19">
        <f t="shared" si="0"/>
        <v>0</v>
      </c>
      <c r="L23" s="1"/>
    </row>
    <row r="24" spans="2:12">
      <c r="B24" s="45">
        <v>43525</v>
      </c>
      <c r="C24" s="1">
        <f>IF(ISERROR(LOOKUP(E24,Vendas!$B$3:$C$100)),"",(LOOKUP(E24,Vendas!$B$3:$C$100)))</f>
        <v>6</v>
      </c>
      <c r="D24" s="1" t="str">
        <f>IF(ISERROR(VLOOKUP(C24,Cadastro!$D$3:$E$100,2,0)),"",(VLOOKUP(C24,Cadastro!$D$3:$E$100,2,0)))</f>
        <v>Allan</v>
      </c>
      <c r="E24" s="1">
        <v>22</v>
      </c>
      <c r="F24" s="1">
        <f>IF(ISERROR(LOOKUP(E24,Vendas!$B$3:$F$100)),"",(LOOKUP(E24,Vendas!$B$3:$F$100)))</f>
        <v>1</v>
      </c>
      <c r="G24" s="1">
        <f>SUM(-(COUNTIFS(Entradas!$D$3:$D$100,22)),F24)</f>
        <v>0</v>
      </c>
      <c r="H24" s="19">
        <f>IF(ISERROR(LOOKUP(E24,Vendas!$B$3:$H$100)),"",(LOOKUP(E24,Vendas!$B$3:$H$100)))</f>
        <v>48.65</v>
      </c>
      <c r="I24" s="19">
        <f t="shared" si="0"/>
        <v>0</v>
      </c>
      <c r="L24" s="1"/>
    </row>
    <row r="25" spans="2:12">
      <c r="B25" s="45">
        <v>43525</v>
      </c>
      <c r="C25" s="1">
        <f>IF(ISERROR(LOOKUP(E25,Vendas!$B$3:$C$100)),"",(LOOKUP(E25,Vendas!$B$3:$C$100)))</f>
        <v>1</v>
      </c>
      <c r="D25" s="1" t="str">
        <f>IF(ISERROR(VLOOKUP(C25,Cadastro!$D$3:$E$100,2,0)),"",(VLOOKUP(C25,Cadastro!$D$3:$E$100,2,0)))</f>
        <v>Mãe</v>
      </c>
      <c r="E25" s="1">
        <v>23</v>
      </c>
      <c r="F25" s="1">
        <f>IF(ISERROR(LOOKUP(E25,Vendas!$B$3:$F$100)),"",(LOOKUP(E25,Vendas!$B$3:$F$100)))</f>
        <v>3</v>
      </c>
      <c r="G25" s="1">
        <f>SUM(-(COUNTIFS(Entradas!$D$3:$D$100,23)),F25)</f>
        <v>3</v>
      </c>
      <c r="H25" s="19">
        <f>IF(ISERROR(LOOKUP(E25,Vendas!$B$3:$H$100)),"",(LOOKUP(E25,Vendas!$B$3:$H$100)))</f>
        <v>100</v>
      </c>
      <c r="I25" s="19">
        <f t="shared" si="0"/>
        <v>300</v>
      </c>
      <c r="L25" s="1"/>
    </row>
    <row r="26" spans="2:12">
      <c r="B26" s="45">
        <v>43525</v>
      </c>
      <c r="C26" s="1">
        <f>IF(ISERROR(LOOKUP(E26,Vendas!$B$3:$C$100)),"",(LOOKUP(E26,Vendas!$B$3:$C$100)))</f>
        <v>6</v>
      </c>
      <c r="D26" s="1" t="str">
        <f>IF(ISERROR(VLOOKUP(C26,Cadastro!$D$3:$E$100,2,0)),"",(VLOOKUP(C26,Cadastro!$D$3:$E$100,2,0)))</f>
        <v>Allan</v>
      </c>
      <c r="E26" s="1">
        <v>24</v>
      </c>
      <c r="F26" s="1">
        <f>IF(ISERROR(LOOKUP(E26,Vendas!$B$3:$F$100)),"",(LOOKUP(E26,Vendas!$B$3:$F$100)))</f>
        <v>1</v>
      </c>
      <c r="G26" s="1">
        <f>SUM(-(COUNTIFS(Entradas!$D$3:$D$100,24)),F26)</f>
        <v>0</v>
      </c>
      <c r="H26" s="19">
        <f>IF(ISERROR(LOOKUP(E26,Vendas!$B$3:$H$100)),"",(LOOKUP(E26,Vendas!$B$3:$H$100)))</f>
        <v>12.5</v>
      </c>
      <c r="I26" s="19">
        <f t="shared" si="0"/>
        <v>0</v>
      </c>
      <c r="L26" s="1"/>
    </row>
    <row r="27" spans="2:12">
      <c r="B27" s="45">
        <v>43525</v>
      </c>
      <c r="C27" s="1">
        <f>IF(ISERROR(LOOKUP(E27,Vendas!$B$3:$C$100)),"",(LOOKUP(E27,Vendas!$B$3:$C$100)))</f>
        <v>2</v>
      </c>
      <c r="D27" s="1" t="str">
        <f>IF(ISERROR(VLOOKUP(C27,Cadastro!$D$3:$E$100,2,0)),"",(VLOOKUP(C27,Cadastro!$D$3:$E$100,2,0)))</f>
        <v>Paulo</v>
      </c>
      <c r="E27" s="1">
        <v>25</v>
      </c>
      <c r="F27" s="1">
        <f>IF(ISERROR(LOOKUP(E27,Vendas!$B$3:$F$100)),"",(LOOKUP(E27,Vendas!$B$3:$F$100)))</f>
        <v>12</v>
      </c>
      <c r="G27" s="1">
        <f>SUM(-(COUNTIFS(Entradas!$D$3:$D$100,25)),F27)</f>
        <v>12</v>
      </c>
      <c r="H27" s="19">
        <f>IF(ISERROR(LOOKUP(E27,Vendas!$B$3:$H$100)),"",(LOOKUP(E27,Vendas!$B$3:$H$100)))</f>
        <v>70.819999999999993</v>
      </c>
      <c r="I27" s="19">
        <f t="shared" si="0"/>
        <v>849.83999999999992</v>
      </c>
      <c r="L27" s="1"/>
    </row>
    <row r="28" spans="2:12">
      <c r="B28" s="45">
        <v>43525</v>
      </c>
      <c r="C28" s="1">
        <f>IF(ISERROR(LOOKUP(E28,Vendas!$B$3:$C$100)),"",(LOOKUP(E28,Vendas!$B$3:$C$100)))</f>
        <v>2</v>
      </c>
      <c r="D28" s="1" t="str">
        <f>IF(ISERROR(VLOOKUP(C28,Cadastro!$D$3:$E$100,2,0)),"",(VLOOKUP(C28,Cadastro!$D$3:$E$100,2,0)))</f>
        <v>Paulo</v>
      </c>
      <c r="E28" s="1">
        <v>26</v>
      </c>
      <c r="F28" s="1">
        <f>IF(ISERROR(LOOKUP(E28,Vendas!$B$3:$F$100)),"",(LOOKUP(E28,Vendas!$B$3:$F$100)))</f>
        <v>5</v>
      </c>
      <c r="G28" s="1">
        <f>SUM(-(COUNTIFS(Entradas!$D$3:$D$100,25)),F28)</f>
        <v>5</v>
      </c>
      <c r="H28" s="19">
        <f>IF(ISERROR(LOOKUP(E28,Vendas!$B$3:$H$100)),"",(LOOKUP(E28,Vendas!$B$3:$H$100)))</f>
        <v>49.99</v>
      </c>
      <c r="I28" s="19">
        <f t="shared" si="0"/>
        <v>249.95000000000002</v>
      </c>
      <c r="L28" s="1"/>
    </row>
    <row r="29" spans="2:12">
      <c r="B29" s="45">
        <v>43525</v>
      </c>
      <c r="C29" s="1">
        <f>IF(ISERROR(LOOKUP(E29,Vendas!$B$3:$C$100)),"",(LOOKUP(E29,Vendas!$B$3:$C$100)))</f>
        <v>2</v>
      </c>
      <c r="D29" s="1" t="str">
        <f>IF(ISERROR(VLOOKUP(C29,Cadastro!$D$3:$E$100,2,0)),"",(VLOOKUP(C29,Cadastro!$D$3:$E$100,2,0)))</f>
        <v>Paulo</v>
      </c>
      <c r="E29" s="1">
        <v>27</v>
      </c>
      <c r="F29" s="1">
        <f>IF(ISERROR(LOOKUP(E29,Vendas!$B$3:$F$100)),"",(LOOKUP(E29,Vendas!$B$3:$F$100)))</f>
        <v>5</v>
      </c>
      <c r="G29" s="1">
        <f>SUM(-(COUNTIFS(Entradas!$D$3:$D$100,25)),F29)</f>
        <v>5</v>
      </c>
      <c r="H29" s="19">
        <f>IF(ISERROR(LOOKUP(E29,Vendas!$B$3:$H$100)),"",(LOOKUP(E29,Vendas!$B$3:$H$100)))</f>
        <v>49.99</v>
      </c>
      <c r="I29" s="19">
        <f t="shared" si="0"/>
        <v>249.95000000000002</v>
      </c>
      <c r="L29" s="1"/>
    </row>
    <row r="30" spans="2:12">
      <c r="B30" s="1"/>
      <c r="C30" s="1" t="str">
        <f>IF(ISERROR(LOOKUP(E30,Vendas!$B$3:$C$100)),"",(LOOKUP(E30,Vendas!$B$3:$C$100)))</f>
        <v/>
      </c>
      <c r="D30" s="1" t="str">
        <f>IF(ISERROR(VLOOKUP(C30,Cadastro!$D$3:$E$100,2,0)),"",(VLOOKUP(C30,Cadastro!$D$3:$E$100,2,0)))</f>
        <v/>
      </c>
      <c r="F30" s="1" t="str">
        <f>IF(ISERROR(LOOKUP(E30,Vendas!$B$3:$F$100)),"",(LOOKUP(E30,Vendas!$B$3:$F$100)))</f>
        <v/>
      </c>
      <c r="G30" s="1">
        <f>SUM(-(COUNTIFS(Entradas!$D$3:$D$100,25)),F30)</f>
        <v>0</v>
      </c>
      <c r="H30" s="19" t="str">
        <f>IF(ISERROR(LOOKUP(E30,Vendas!$B$3:$H$100)),"0",(LOOKUP(E30,Vendas!$B$3:$H$100)))</f>
        <v>0</v>
      </c>
      <c r="I30" s="19">
        <f t="shared" si="0"/>
        <v>0</v>
      </c>
      <c r="L30" s="1"/>
    </row>
    <row r="31" spans="2:12">
      <c r="B31" s="1"/>
      <c r="C31" s="1" t="str">
        <f>IF(ISERROR(LOOKUP(E31,Vendas!$B$3:$C$100)),"",(LOOKUP(E31,Vendas!$B$3:$C$100)))</f>
        <v/>
      </c>
      <c r="D31" s="1" t="str">
        <f>IF(ISERROR(VLOOKUP(C31,Cadastro!$D$3:$E$100,2,0)),"",(VLOOKUP(C31,Cadastro!$D$3:$E$100,2,0)))</f>
        <v/>
      </c>
      <c r="F31" s="1" t="str">
        <f>IF(ISERROR(LOOKUP(E31,Vendas!$B$3:$F$100)),"",(LOOKUP(E31,Vendas!$B$3:$F$100)))</f>
        <v/>
      </c>
      <c r="G31" s="1">
        <f>SUM(-(COUNTIFS(Entradas!$D$3:$D$100,25)),F31)</f>
        <v>0</v>
      </c>
      <c r="H31" s="19" t="str">
        <f>IF(ISERROR(LOOKUP(E31,Vendas!$B$3:$H$100)),"0",(LOOKUP(E31,Vendas!$B$3:$H$100)))</f>
        <v>0</v>
      </c>
      <c r="I31" s="19">
        <f t="shared" si="0"/>
        <v>0</v>
      </c>
      <c r="L31" s="1"/>
    </row>
    <row r="32" spans="2:12">
      <c r="B32" s="1"/>
      <c r="C32" s="1" t="str">
        <f>IF(ISERROR(LOOKUP(E32,Vendas!$B$3:$C$100)),"",(LOOKUP(E32,Vendas!$B$3:$C$100)))</f>
        <v/>
      </c>
      <c r="D32" s="1" t="str">
        <f>IF(ISERROR(VLOOKUP(C32,Cadastro!$D$3:$E$100,2,0)),"",(VLOOKUP(C32,Cadastro!$D$3:$E$100,2,0)))</f>
        <v/>
      </c>
      <c r="F32" s="1" t="str">
        <f>IF(ISERROR(LOOKUP(E32,Vendas!$B$3:$F$100)),"",(LOOKUP(E32,Vendas!$B$3:$F$100)))</f>
        <v/>
      </c>
      <c r="G32" s="1">
        <f>SUM(-(COUNTIFS(Entradas!$D$3:$D$100,25)),F32)</f>
        <v>0</v>
      </c>
      <c r="H32" s="19" t="str">
        <f>IF(ISERROR(LOOKUP(E32,Vendas!$B$3:$H$100)),"0",(LOOKUP(E32,Vendas!$B$3:$H$100)))</f>
        <v>0</v>
      </c>
      <c r="I32" s="19">
        <f t="shared" si="0"/>
        <v>0</v>
      </c>
      <c r="L32" s="1"/>
    </row>
    <row r="33" spans="2:12">
      <c r="B33" s="1"/>
      <c r="C33" s="1" t="str">
        <f>IF(ISERROR(LOOKUP(E33,Vendas!$B$3:$C$100)),"",(LOOKUP(E33,Vendas!$B$3:$C$100)))</f>
        <v/>
      </c>
      <c r="D33" s="1" t="str">
        <f>IF(ISERROR(VLOOKUP(C33,Cadastro!$D$3:$E$100,2,0)),"",(VLOOKUP(C33,Cadastro!$D$3:$E$100,2,0)))</f>
        <v/>
      </c>
      <c r="F33" s="1" t="str">
        <f>IF(ISERROR(LOOKUP(E33,Vendas!$B$3:$F$100)),"",(LOOKUP(E33,Vendas!$B$3:$F$100)))</f>
        <v/>
      </c>
      <c r="G33" s="1">
        <f>SUM(-(COUNTIFS(Entradas!$D$3:$D$100,25)),F33)</f>
        <v>0</v>
      </c>
      <c r="H33" s="19" t="str">
        <f>IF(ISERROR(LOOKUP(E33,Vendas!$B$3:$H$100)),"0",(LOOKUP(E33,Vendas!$B$3:$H$100)))</f>
        <v>0</v>
      </c>
      <c r="I33" s="19">
        <f t="shared" si="0"/>
        <v>0</v>
      </c>
      <c r="L33" s="1"/>
    </row>
    <row r="34" spans="2:12">
      <c r="B34" s="1"/>
      <c r="C34" s="1" t="str">
        <f>IF(ISERROR(LOOKUP(E34,Vendas!$B$3:$C$100)),"",(LOOKUP(E34,Vendas!$B$3:$C$100)))</f>
        <v/>
      </c>
      <c r="D34" s="1" t="str">
        <f>IF(ISERROR(VLOOKUP(C34,Cadastro!$D$3:$E$100,2,0)),"",(VLOOKUP(C34,Cadastro!$D$3:$E$100,2,0)))</f>
        <v/>
      </c>
      <c r="F34" s="1" t="str">
        <f>IF(ISERROR(LOOKUP(E34,Vendas!$B$3:$F$100)),"",(LOOKUP(E34,Vendas!$B$3:$F$100)))</f>
        <v/>
      </c>
      <c r="G34" s="1">
        <f>SUM(-(COUNTIFS(Entradas!$D$3:$D$100,25)),F34)</f>
        <v>0</v>
      </c>
      <c r="H34" s="19" t="str">
        <f>IF(ISERROR(LOOKUP(E34,Vendas!$B$3:$H$100)),"0",(LOOKUP(E34,Vendas!$B$3:$H$100)))</f>
        <v>0</v>
      </c>
      <c r="I34" s="19">
        <f t="shared" si="0"/>
        <v>0</v>
      </c>
      <c r="L34" s="1"/>
    </row>
    <row r="35" spans="2:12">
      <c r="B35" s="1"/>
      <c r="C35" s="1" t="str">
        <f>IF(ISERROR(LOOKUP(E35,Vendas!$B$3:$C$100)),"",(LOOKUP(E35,Vendas!$B$3:$C$100)))</f>
        <v/>
      </c>
      <c r="D35" s="1" t="str">
        <f>IF(ISERROR(VLOOKUP(C35,Cadastro!$D$3:$E$100,2,0)),"",(VLOOKUP(C35,Cadastro!$D$3:$E$100,2,0)))</f>
        <v/>
      </c>
      <c r="F35" s="1" t="str">
        <f>IF(ISERROR(LOOKUP(E35,Vendas!$B$3:$F$100)),"",(LOOKUP(E35,Vendas!$B$3:$F$100)))</f>
        <v/>
      </c>
      <c r="G35" s="1">
        <f>SUM(-(COUNTIFS(Entradas!$D$3:$D$100,25)),F35)</f>
        <v>0</v>
      </c>
      <c r="H35" s="19" t="str">
        <f>IF(ISERROR(LOOKUP(E35,Vendas!$B$3:$H$100)),"0",(LOOKUP(E35,Vendas!$B$3:$H$100)))</f>
        <v>0</v>
      </c>
      <c r="I35" s="19">
        <f t="shared" si="0"/>
        <v>0</v>
      </c>
      <c r="L35" s="1"/>
    </row>
    <row r="36" spans="2:12">
      <c r="B36" s="1"/>
      <c r="C36" s="1" t="str">
        <f>IF(ISERROR(LOOKUP(E36,Vendas!$B$3:$C$100)),"",(LOOKUP(E36,Vendas!$B$3:$C$100)))</f>
        <v/>
      </c>
      <c r="D36" s="1" t="str">
        <f>IF(ISERROR(VLOOKUP(C36,Cadastro!$D$3:$E$100,2,0)),"",(VLOOKUP(C36,Cadastro!$D$3:$E$100,2,0)))</f>
        <v/>
      </c>
      <c r="F36" s="1" t="str">
        <f>IF(ISERROR(LOOKUP(E36,Vendas!$B$3:$F$100)),"",(LOOKUP(E36,Vendas!$B$3:$F$100)))</f>
        <v/>
      </c>
      <c r="G36" s="1">
        <f>SUM(-(COUNTIFS(Entradas!$D$3:$D$100,25)),F36)</f>
        <v>0</v>
      </c>
      <c r="H36" s="19" t="str">
        <f>IF(ISERROR(LOOKUP(E36,Vendas!$B$3:$H$100)),"0",(LOOKUP(E36,Vendas!$B$3:$H$100)))</f>
        <v>0</v>
      </c>
      <c r="I36" s="19">
        <f t="shared" si="0"/>
        <v>0</v>
      </c>
      <c r="L36" s="1"/>
    </row>
    <row r="37" spans="2:12">
      <c r="B37" s="1"/>
      <c r="C37" s="1" t="str">
        <f>IF(ISERROR(LOOKUP(E37,Vendas!$B$3:$C$100)),"",(LOOKUP(E37,Vendas!$B$3:$C$100)))</f>
        <v/>
      </c>
      <c r="D37" s="1" t="str">
        <f>IF(ISERROR(VLOOKUP(C37,Cadastro!$D$3:$E$100,2,0)),"",(VLOOKUP(C37,Cadastro!$D$3:$E$100,2,0)))</f>
        <v/>
      </c>
      <c r="F37" s="1" t="str">
        <f>IF(ISERROR(LOOKUP(E37,Vendas!$B$3:$F$100)),"",(LOOKUP(E37,Vendas!$B$3:$F$100)))</f>
        <v/>
      </c>
      <c r="G37" s="1">
        <f>SUM(-(COUNTIFS(Entradas!$D$3:$D$100,25)),F37)</f>
        <v>0</v>
      </c>
      <c r="H37" s="19" t="str">
        <f>IF(ISERROR(LOOKUP(E37,Vendas!$B$3:$H$100)),"0",(LOOKUP(E37,Vendas!$B$3:$H$100)))</f>
        <v>0</v>
      </c>
      <c r="I37" s="19">
        <f t="shared" si="0"/>
        <v>0</v>
      </c>
      <c r="L37" s="1"/>
    </row>
    <row r="38" spans="2:12">
      <c r="B38" s="1"/>
      <c r="C38" s="1" t="str">
        <f>IF(ISERROR(LOOKUP(E38,Vendas!$B$3:$C$100)),"",(LOOKUP(E38,Vendas!$B$3:$C$100)))</f>
        <v/>
      </c>
      <c r="D38" s="1" t="str">
        <f>IF(ISERROR(VLOOKUP(C38,Cadastro!$D$3:$E$100,2,0)),"",(VLOOKUP(C38,Cadastro!$D$3:$E$100,2,0)))</f>
        <v/>
      </c>
      <c r="F38" s="1" t="str">
        <f>IF(ISERROR(LOOKUP(E38,Vendas!$B$3:$F$100)),"",(LOOKUP(E38,Vendas!$B$3:$F$100)))</f>
        <v/>
      </c>
      <c r="G38" s="1">
        <f>SUM(-(COUNTIFS(Entradas!$D$3:$D$100,25)),F38)</f>
        <v>0</v>
      </c>
      <c r="H38" s="19" t="str">
        <f>IF(ISERROR(LOOKUP(E38,Vendas!$B$3:$H$100)),"0",(LOOKUP(E38,Vendas!$B$3:$H$100)))</f>
        <v>0</v>
      </c>
      <c r="I38" s="19">
        <f t="shared" si="0"/>
        <v>0</v>
      </c>
      <c r="L38" s="1"/>
    </row>
    <row r="39" spans="2:12">
      <c r="B39" s="1"/>
      <c r="C39" s="1" t="str">
        <f>IF(ISERROR(LOOKUP(E39,Vendas!$B$3:$C$100)),"",(LOOKUP(E39,Vendas!$B$3:$C$100)))</f>
        <v/>
      </c>
      <c r="D39" s="1" t="str">
        <f>IF(ISERROR(VLOOKUP(C39,Cadastro!$D$3:$E$100,2,0)),"",(VLOOKUP(C39,Cadastro!$D$3:$E$100,2,0)))</f>
        <v/>
      </c>
      <c r="F39" s="1" t="str">
        <f>IF(ISERROR(LOOKUP(E39,Vendas!$B$3:$F$100)),"",(LOOKUP(E39,Vendas!$B$3:$F$100)))</f>
        <v/>
      </c>
      <c r="G39" s="1">
        <f>SUM(-(COUNTIFS(Entradas!$D$3:$D$100,25)),F39)</f>
        <v>0</v>
      </c>
      <c r="H39" s="19" t="str">
        <f>IF(ISERROR(LOOKUP(E39,Vendas!$B$3:$H$100)),"0",(LOOKUP(E39,Vendas!$B$3:$H$100)))</f>
        <v>0</v>
      </c>
      <c r="I39" s="19">
        <f t="shared" si="0"/>
        <v>0</v>
      </c>
      <c r="L39" s="1"/>
    </row>
    <row r="40" spans="2:12">
      <c r="B40" s="1"/>
      <c r="C40" s="1" t="str">
        <f>IF(ISERROR(LOOKUP(E40,Vendas!$B$3:$C$100)),"",(LOOKUP(E40,Vendas!$B$3:$C$100)))</f>
        <v/>
      </c>
      <c r="D40" s="1" t="str">
        <f>IF(ISERROR(VLOOKUP(C40,Cadastro!$D$3:$E$100,2,0)),"",(VLOOKUP(C40,Cadastro!$D$3:$E$100,2,0)))</f>
        <v/>
      </c>
      <c r="F40" s="1" t="str">
        <f>IF(ISERROR(LOOKUP(E40,Vendas!$B$3:$F$100)),"",(LOOKUP(E40,Vendas!$B$3:$F$100)))</f>
        <v/>
      </c>
      <c r="G40" s="1">
        <f>SUM(-(COUNTIFS(Entradas!$D$3:$D$100,25)),F40)</f>
        <v>0</v>
      </c>
      <c r="H40" s="19" t="str">
        <f>IF(ISERROR(LOOKUP(E40,Vendas!$B$3:$H$100)),"0",(LOOKUP(E40,Vendas!$B$3:$H$100)))</f>
        <v>0</v>
      </c>
      <c r="I40" s="19">
        <f t="shared" si="0"/>
        <v>0</v>
      </c>
      <c r="L40" s="1"/>
    </row>
    <row r="41" spans="2:12">
      <c r="B41" s="1"/>
      <c r="C41" s="1" t="str">
        <f>IF(ISERROR(LOOKUP(E41,Vendas!$B$3:$C$100)),"",(LOOKUP(E41,Vendas!$B$3:$C$100)))</f>
        <v/>
      </c>
      <c r="D41" s="1" t="str">
        <f>IF(ISERROR(VLOOKUP(C41,Cadastro!$D$3:$E$100,2,0)),"",(VLOOKUP(C41,Cadastro!$D$3:$E$100,2,0)))</f>
        <v/>
      </c>
      <c r="F41" s="1" t="str">
        <f>IF(ISERROR(LOOKUP(E41,Vendas!$B$3:$F$100)),"",(LOOKUP(E41,Vendas!$B$3:$F$100)))</f>
        <v/>
      </c>
      <c r="G41" s="1">
        <f>SUM(-(COUNTIFS(Entradas!$D$3:$D$100,25)),F41)</f>
        <v>0</v>
      </c>
      <c r="H41" s="19" t="str">
        <f>IF(ISERROR(LOOKUP(E41,Vendas!$B$3:$H$100)),"0",(LOOKUP(E41,Vendas!$B$3:$H$100)))</f>
        <v>0</v>
      </c>
      <c r="I41" s="19">
        <f t="shared" si="0"/>
        <v>0</v>
      </c>
      <c r="L41" s="1"/>
    </row>
    <row r="42" spans="2:12">
      <c r="B42" s="1"/>
      <c r="C42" s="1" t="str">
        <f>IF(ISERROR(LOOKUP(E42,Vendas!$B$3:$C$100)),"",(LOOKUP(E42,Vendas!$B$3:$C$100)))</f>
        <v/>
      </c>
      <c r="D42" s="1" t="str">
        <f>IF(ISERROR(VLOOKUP(C42,Cadastro!$D$3:$E$100,2,0)),"",(VLOOKUP(C42,Cadastro!$D$3:$E$100,2,0)))</f>
        <v/>
      </c>
      <c r="F42" s="1" t="str">
        <f>IF(ISERROR(LOOKUP(E42,Vendas!$B$3:$F$100)),"",(LOOKUP(E42,Vendas!$B$3:$F$100)))</f>
        <v/>
      </c>
      <c r="G42" s="1">
        <f>SUM(-(COUNTIFS(Entradas!$D$3:$D$100,25)),F42)</f>
        <v>0</v>
      </c>
      <c r="H42" s="19" t="str">
        <f>IF(ISERROR(LOOKUP(E42,Vendas!$B$3:$H$100)),"0",(LOOKUP(E42,Vendas!$B$3:$H$100)))</f>
        <v>0</v>
      </c>
      <c r="I42" s="19">
        <f t="shared" si="0"/>
        <v>0</v>
      </c>
      <c r="L42" s="1"/>
    </row>
    <row r="43" spans="2:12">
      <c r="B43" s="1"/>
      <c r="C43" s="1" t="str">
        <f>IF(ISERROR(LOOKUP(E43,Vendas!$B$3:$C$100)),"",(LOOKUP(E43,Vendas!$B$3:$C$100)))</f>
        <v/>
      </c>
      <c r="D43" s="1" t="str">
        <f>IF(ISERROR(VLOOKUP(C43,Cadastro!$D$3:$E$100,2,0)),"",(VLOOKUP(C43,Cadastro!$D$3:$E$100,2,0)))</f>
        <v/>
      </c>
      <c r="F43" s="1" t="str">
        <f>IF(ISERROR(LOOKUP(E43,Vendas!$B$3:$F$100)),"",(LOOKUP(E43,Vendas!$B$3:$F$100)))</f>
        <v/>
      </c>
      <c r="G43" s="1">
        <f>SUM(-(COUNTIFS(Entradas!$D$3:$D$100,25)),F43)</f>
        <v>0</v>
      </c>
      <c r="H43" s="19" t="str">
        <f>IF(ISERROR(LOOKUP(E43,Vendas!$B$3:$H$100)),"0",(LOOKUP(E43,Vendas!$B$3:$H$100)))</f>
        <v>0</v>
      </c>
      <c r="I43" s="19">
        <f t="shared" si="0"/>
        <v>0</v>
      </c>
      <c r="L43" s="1"/>
    </row>
    <row r="44" spans="2:12">
      <c r="B44" s="1"/>
      <c r="C44" s="1" t="str">
        <f>IF(ISERROR(LOOKUP(E44,Vendas!$B$3:$C$100)),"",(LOOKUP(E44,Vendas!$B$3:$C$100)))</f>
        <v/>
      </c>
      <c r="D44" s="1" t="str">
        <f>IF(ISERROR(VLOOKUP(C44,Cadastro!$D$3:$E$100,2,0)),"",(VLOOKUP(C44,Cadastro!$D$3:$E$100,2,0)))</f>
        <v/>
      </c>
      <c r="F44" s="1" t="str">
        <f>IF(ISERROR(LOOKUP(E44,Vendas!$B$3:$F$100)),"",(LOOKUP(E44,Vendas!$B$3:$F$100)))</f>
        <v/>
      </c>
      <c r="G44" s="1">
        <f>SUM(-(COUNTIFS(Entradas!$D$3:$D$100,25)),F44)</f>
        <v>0</v>
      </c>
      <c r="H44" s="19" t="str">
        <f>IF(ISERROR(LOOKUP(E44,Vendas!$B$3:$H$100)),"0",(LOOKUP(E44,Vendas!$B$3:$H$100)))</f>
        <v>0</v>
      </c>
      <c r="I44" s="19">
        <f t="shared" si="0"/>
        <v>0</v>
      </c>
      <c r="L44" s="1"/>
    </row>
    <row r="45" spans="2:12">
      <c r="B45" s="1"/>
      <c r="C45" s="1" t="str">
        <f>IF(ISERROR(LOOKUP(E45,Vendas!$B$3:$C$100)),"",(LOOKUP(E45,Vendas!$B$3:$C$100)))</f>
        <v/>
      </c>
      <c r="D45" s="1" t="str">
        <f>IF(ISERROR(VLOOKUP(C45,Cadastro!$D$3:$E$100,2,0)),"",(VLOOKUP(C45,Cadastro!$D$3:$E$100,2,0)))</f>
        <v/>
      </c>
      <c r="F45" s="1" t="str">
        <f>IF(ISERROR(LOOKUP(E45,Vendas!$B$3:$F$100)),"",(LOOKUP(E45,Vendas!$B$3:$F$100)))</f>
        <v/>
      </c>
      <c r="G45" s="1">
        <f>SUM(-(COUNTIFS(Entradas!$D$3:$D$100,25)),F45)</f>
        <v>0</v>
      </c>
      <c r="H45" s="19" t="str">
        <f>IF(ISERROR(LOOKUP(E45,Vendas!$B$3:$H$100)),"0",(LOOKUP(E45,Vendas!$B$3:$H$100)))</f>
        <v>0</v>
      </c>
      <c r="I45" s="19">
        <f t="shared" si="0"/>
        <v>0</v>
      </c>
      <c r="L45" s="1"/>
    </row>
    <row r="46" spans="2:12">
      <c r="B46" s="1"/>
      <c r="C46" s="1" t="str">
        <f>IF(ISERROR(LOOKUP(E46,Vendas!$B$3:$C$100)),"",(LOOKUP(E46,Vendas!$B$3:$C$100)))</f>
        <v/>
      </c>
      <c r="D46" s="1" t="str">
        <f>IF(ISERROR(VLOOKUP(C46,Cadastro!$D$3:$E$100,2,0)),"",(VLOOKUP(C46,Cadastro!$D$3:$E$100,2,0)))</f>
        <v/>
      </c>
      <c r="F46" s="1" t="str">
        <f>IF(ISERROR(LOOKUP(E46,Vendas!$B$3:$F$100)),"",(LOOKUP(E46,Vendas!$B$3:$F$100)))</f>
        <v/>
      </c>
      <c r="G46" s="1">
        <f>SUM(-(COUNTIFS(Entradas!$D$3:$D$100,25)),F46)</f>
        <v>0</v>
      </c>
      <c r="H46" s="19" t="str">
        <f>IF(ISERROR(LOOKUP(E46,Vendas!$B$3:$H$100)),"0",(LOOKUP(E46,Vendas!$B$3:$H$100)))</f>
        <v>0</v>
      </c>
      <c r="I46" s="19">
        <f t="shared" si="0"/>
        <v>0</v>
      </c>
      <c r="L46" s="1"/>
    </row>
    <row r="47" spans="2:12">
      <c r="B47" s="1"/>
      <c r="C47" s="1" t="str">
        <f>IF(ISERROR(LOOKUP(E47,Vendas!$B$3:$C$100)),"",(LOOKUP(E47,Vendas!$B$3:$C$100)))</f>
        <v/>
      </c>
      <c r="D47" s="1" t="str">
        <f>IF(ISERROR(VLOOKUP(C47,Cadastro!$D$3:$E$100,2,0)),"",(VLOOKUP(C47,Cadastro!$D$3:$E$100,2,0)))</f>
        <v/>
      </c>
      <c r="F47" s="1" t="str">
        <f>IF(ISERROR(LOOKUP(E47,Vendas!$B$3:$F$100)),"",(LOOKUP(E47,Vendas!$B$3:$F$100)))</f>
        <v/>
      </c>
      <c r="G47" s="1">
        <f>SUM(-(COUNTIFS(Entradas!$D$3:$D$100,25)),F47)</f>
        <v>0</v>
      </c>
      <c r="H47" s="19" t="str">
        <f>IF(ISERROR(LOOKUP(E47,Vendas!$B$3:$H$100)),"0",(LOOKUP(E47,Vendas!$B$3:$H$100)))</f>
        <v>0</v>
      </c>
      <c r="I47" s="19">
        <f t="shared" si="0"/>
        <v>0</v>
      </c>
      <c r="L47" s="1"/>
    </row>
    <row r="48" spans="2:12">
      <c r="B48" s="1"/>
      <c r="C48" s="1" t="str">
        <f>IF(ISERROR(LOOKUP(E48,Vendas!$B$3:$C$100)),"",(LOOKUP(E48,Vendas!$B$3:$C$100)))</f>
        <v/>
      </c>
      <c r="D48" s="1" t="str">
        <f>IF(ISERROR(VLOOKUP(C48,Cadastro!$D$3:$E$100,2,0)),"",(VLOOKUP(C48,Cadastro!$D$3:$E$100,2,0)))</f>
        <v/>
      </c>
      <c r="F48" s="1" t="str">
        <f>IF(ISERROR(LOOKUP(E48,Vendas!$B$3:$F$100)),"",(LOOKUP(E48,Vendas!$B$3:$F$100)))</f>
        <v/>
      </c>
      <c r="G48" s="1">
        <f>SUM(-(COUNTIFS(Entradas!$D$3:$D$100,25)),F48)</f>
        <v>0</v>
      </c>
      <c r="H48" s="19" t="str">
        <f>IF(ISERROR(LOOKUP(E48,Vendas!$B$3:$H$100)),"0",(LOOKUP(E48,Vendas!$B$3:$H$100)))</f>
        <v>0</v>
      </c>
      <c r="I48" s="19">
        <f t="shared" si="0"/>
        <v>0</v>
      </c>
      <c r="L48" s="1"/>
    </row>
    <row r="49" spans="2:12">
      <c r="B49" s="1"/>
      <c r="C49" s="1" t="str">
        <f>IF(ISERROR(LOOKUP(E49,Vendas!$B$3:$C$100)),"",(LOOKUP(E49,Vendas!$B$3:$C$100)))</f>
        <v/>
      </c>
      <c r="D49" s="1" t="str">
        <f>IF(ISERROR(VLOOKUP(C49,Cadastro!$D$3:$E$100,2,0)),"",(VLOOKUP(C49,Cadastro!$D$3:$E$100,2,0)))</f>
        <v/>
      </c>
      <c r="F49" s="1" t="str">
        <f>IF(ISERROR(LOOKUP(E49,Vendas!$B$3:$F$100)),"",(LOOKUP(E49,Vendas!$B$3:$F$100)))</f>
        <v/>
      </c>
      <c r="G49" s="1">
        <f>SUM(-(COUNTIFS(Entradas!$D$3:$D$100,25)),F49)</f>
        <v>0</v>
      </c>
      <c r="H49" s="19" t="str">
        <f>IF(ISERROR(LOOKUP(E49,Vendas!$B$3:$H$100)),"0",(LOOKUP(E49,Vendas!$B$3:$H$100)))</f>
        <v>0</v>
      </c>
      <c r="I49" s="19">
        <f t="shared" si="0"/>
        <v>0</v>
      </c>
      <c r="L49" s="1"/>
    </row>
    <row r="50" spans="2:12">
      <c r="B50" s="1"/>
      <c r="C50" s="1" t="str">
        <f>IF(ISERROR(LOOKUP(E50,Vendas!$B$3:$C$100)),"",(LOOKUP(E50,Vendas!$B$3:$C$100)))</f>
        <v/>
      </c>
      <c r="D50" s="1" t="str">
        <f>IF(ISERROR(VLOOKUP(C50,Cadastro!$D$3:$E$100,2,0)),"",(VLOOKUP(C50,Cadastro!$D$3:$E$100,2,0)))</f>
        <v/>
      </c>
      <c r="F50" s="1" t="str">
        <f>IF(ISERROR(LOOKUP(E50,Vendas!$B$3:$F$100)),"",(LOOKUP(E50,Vendas!$B$3:$F$100)))</f>
        <v/>
      </c>
      <c r="G50" s="1">
        <f>SUM(-(COUNTIFS(Entradas!$D$3:$D$100,25)),F50)</f>
        <v>0</v>
      </c>
      <c r="H50" s="19" t="str">
        <f>IF(ISERROR(LOOKUP(E50,Vendas!$B$3:$H$100)),"0",(LOOKUP(E50,Vendas!$B$3:$H$100)))</f>
        <v>0</v>
      </c>
      <c r="I50" s="19">
        <f t="shared" si="0"/>
        <v>0</v>
      </c>
      <c r="L50" s="1"/>
    </row>
    <row r="51" spans="2:12">
      <c r="B51" s="1"/>
      <c r="C51" s="1" t="str">
        <f>IF(ISERROR(LOOKUP(E51,Vendas!$B$3:$C$100)),"",(LOOKUP(E51,Vendas!$B$3:$C$100)))</f>
        <v/>
      </c>
      <c r="D51" s="1" t="str">
        <f>IF(ISERROR(VLOOKUP(C51,Cadastro!$D$3:$E$100,2,0)),"",(VLOOKUP(C51,Cadastro!$D$3:$E$100,2,0)))</f>
        <v/>
      </c>
      <c r="F51" s="1" t="str">
        <f>IF(ISERROR(LOOKUP(E51,Vendas!$B$3:$F$100)),"",(LOOKUP(E51,Vendas!$B$3:$F$100)))</f>
        <v/>
      </c>
      <c r="G51" s="1">
        <f>SUM(-(COUNTIFS(Entradas!$D$3:$D$100,25)),F51)</f>
        <v>0</v>
      </c>
      <c r="H51" s="19" t="str">
        <f>IF(ISERROR(LOOKUP(E51,Vendas!$B$3:$H$100)),"0",(LOOKUP(E51,Vendas!$B$3:$H$100)))</f>
        <v>0</v>
      </c>
      <c r="I51" s="19">
        <f t="shared" si="0"/>
        <v>0</v>
      </c>
      <c r="L51" s="1"/>
    </row>
    <row r="52" spans="2:12">
      <c r="B52" s="1"/>
      <c r="C52" s="1" t="str">
        <f>IF(ISERROR(LOOKUP(E52,Vendas!$B$3:$C$100)),"",(LOOKUP(E52,Vendas!$B$3:$C$100)))</f>
        <v/>
      </c>
      <c r="D52" s="1" t="str">
        <f>IF(ISERROR(VLOOKUP(C52,Cadastro!$D$3:$E$100,2,0)),"",(VLOOKUP(C52,Cadastro!$D$3:$E$100,2,0)))</f>
        <v/>
      </c>
      <c r="F52" s="1" t="str">
        <f>IF(ISERROR(LOOKUP(E52,Vendas!$B$3:$F$100)),"",(LOOKUP(E52,Vendas!$B$3:$F$100)))</f>
        <v/>
      </c>
      <c r="G52" s="1">
        <f>SUM(-(COUNTIFS(Entradas!$D$3:$D$100,25)),F52)</f>
        <v>0</v>
      </c>
      <c r="H52" s="19" t="str">
        <f>IF(ISERROR(LOOKUP(E52,Vendas!$B$3:$H$100)),"0",(LOOKUP(E52,Vendas!$B$3:$H$100)))</f>
        <v>0</v>
      </c>
      <c r="I52" s="19">
        <f t="shared" si="0"/>
        <v>0</v>
      </c>
      <c r="L52" s="1"/>
    </row>
    <row r="53" spans="2:12">
      <c r="B53" s="1"/>
      <c r="C53" s="1" t="str">
        <f>IF(ISERROR(LOOKUP(E53,Vendas!$B$3:$C$100)),"",(LOOKUP(E53,Vendas!$B$3:$C$100)))</f>
        <v/>
      </c>
      <c r="D53" s="1" t="str">
        <f>IF(ISERROR(VLOOKUP(C53,Cadastro!$D$3:$E$100,2,0)),"",(VLOOKUP(C53,Cadastro!$D$3:$E$100,2,0)))</f>
        <v/>
      </c>
      <c r="F53" s="1" t="str">
        <f>IF(ISERROR(LOOKUP(E53,Vendas!$B$3:$F$100)),"",(LOOKUP(E53,Vendas!$B$3:$F$100)))</f>
        <v/>
      </c>
      <c r="G53" s="1">
        <f>SUM(-(COUNTIFS(Entradas!$D$3:$D$100,25)),F53)</f>
        <v>0</v>
      </c>
      <c r="H53" s="19" t="str">
        <f>IF(ISERROR(LOOKUP(E53,Vendas!$B$3:$H$100)),"0",(LOOKUP(E53,Vendas!$B$3:$H$100)))</f>
        <v>0</v>
      </c>
      <c r="I53" s="19">
        <f t="shared" si="0"/>
        <v>0</v>
      </c>
      <c r="L53" s="1"/>
    </row>
    <row r="54" spans="2:12">
      <c r="B54" s="1"/>
      <c r="C54" s="1" t="str">
        <f>IF(ISERROR(LOOKUP(E54,Vendas!$B$3:$C$100)),"",(LOOKUP(E54,Vendas!$B$3:$C$100)))</f>
        <v/>
      </c>
      <c r="D54" s="1" t="str">
        <f>IF(ISERROR(VLOOKUP(C54,Cadastro!$D$3:$E$100,2,0)),"",(VLOOKUP(C54,Cadastro!$D$3:$E$100,2,0)))</f>
        <v/>
      </c>
      <c r="F54" s="1" t="str">
        <f>IF(ISERROR(LOOKUP(E54,Vendas!$B$3:$F$100)),"",(LOOKUP(E54,Vendas!$B$3:$F$100)))</f>
        <v/>
      </c>
      <c r="G54" s="1">
        <f>SUM(-(COUNTIFS(Entradas!$D$3:$D$100,25)),F54)</f>
        <v>0</v>
      </c>
      <c r="H54" s="19" t="str">
        <f>IF(ISERROR(LOOKUP(E54,Vendas!$B$3:$H$100)),"0",(LOOKUP(E54,Vendas!$B$3:$H$100)))</f>
        <v>0</v>
      </c>
      <c r="I54" s="19">
        <f t="shared" si="0"/>
        <v>0</v>
      </c>
      <c r="L54" s="1"/>
    </row>
    <row r="55" spans="2:12">
      <c r="B55" s="1"/>
      <c r="C55" s="1" t="str">
        <f>IF(ISERROR(LOOKUP(E55,Vendas!$B$3:$C$100)),"",(LOOKUP(E55,Vendas!$B$3:$C$100)))</f>
        <v/>
      </c>
      <c r="D55" s="1" t="str">
        <f>IF(ISERROR(VLOOKUP(C55,Cadastro!$D$3:$E$100,2,0)),"",(VLOOKUP(C55,Cadastro!$D$3:$E$100,2,0)))</f>
        <v/>
      </c>
      <c r="F55" s="1" t="str">
        <f>IF(ISERROR(LOOKUP(E55,Vendas!$B$3:$F$100)),"",(LOOKUP(E55,Vendas!$B$3:$F$100)))</f>
        <v/>
      </c>
      <c r="G55" s="1">
        <f>SUM(-(COUNTIFS(Entradas!$D$3:$D$100,25)),F55)</f>
        <v>0</v>
      </c>
      <c r="H55" s="19" t="str">
        <f>IF(ISERROR(LOOKUP(E55,Vendas!$B$3:$H$100)),"0",(LOOKUP(E55,Vendas!$B$3:$H$100)))</f>
        <v>0</v>
      </c>
      <c r="I55" s="19">
        <f t="shared" si="0"/>
        <v>0</v>
      </c>
      <c r="L55" s="1"/>
    </row>
    <row r="56" spans="2:12">
      <c r="B56" s="1"/>
      <c r="C56" s="1" t="str">
        <f>IF(ISERROR(LOOKUP(E56,Vendas!$B$3:$C$100)),"",(LOOKUP(E56,Vendas!$B$3:$C$100)))</f>
        <v/>
      </c>
      <c r="D56" s="1" t="str">
        <f>IF(ISERROR(VLOOKUP(C56,Cadastro!$D$3:$E$100,2,0)),"",(VLOOKUP(C56,Cadastro!$D$3:$E$100,2,0)))</f>
        <v/>
      </c>
      <c r="F56" s="1" t="str">
        <f>IF(ISERROR(LOOKUP(E56,Vendas!$B$3:$F$100)),"",(LOOKUP(E56,Vendas!$B$3:$F$100)))</f>
        <v/>
      </c>
      <c r="G56" s="1">
        <f>SUM(-(COUNTIFS(Entradas!$D$3:$D$100,25)),F56)</f>
        <v>0</v>
      </c>
      <c r="H56" s="19" t="str">
        <f>IF(ISERROR(LOOKUP(E56,Vendas!$B$3:$H$100)),"0",(LOOKUP(E56,Vendas!$B$3:$H$100)))</f>
        <v>0</v>
      </c>
      <c r="I56" s="19">
        <f t="shared" si="0"/>
        <v>0</v>
      </c>
      <c r="L56" s="1"/>
    </row>
    <row r="57" spans="2:12">
      <c r="B57" s="1"/>
      <c r="C57" s="1" t="str">
        <f>IF(ISERROR(LOOKUP(E57,Vendas!$B$3:$C$100)),"",(LOOKUP(E57,Vendas!$B$3:$C$100)))</f>
        <v/>
      </c>
      <c r="D57" s="1" t="str">
        <f>IF(ISERROR(VLOOKUP(C57,Cadastro!$D$3:$E$100,2,0)),"",(VLOOKUP(C57,Cadastro!$D$3:$E$100,2,0)))</f>
        <v/>
      </c>
      <c r="F57" s="1" t="str">
        <f>IF(ISERROR(LOOKUP(E57,Vendas!$B$3:$F$100)),"",(LOOKUP(E57,Vendas!$B$3:$F$100)))</f>
        <v/>
      </c>
      <c r="G57" s="1">
        <f>SUM(-(COUNTIFS(Entradas!$D$3:$D$100,25)),F57)</f>
        <v>0</v>
      </c>
      <c r="H57" s="19" t="str">
        <f>IF(ISERROR(LOOKUP(E57,Vendas!$B$3:$H$100)),"0",(LOOKUP(E57,Vendas!$B$3:$H$100)))</f>
        <v>0</v>
      </c>
      <c r="I57" s="19">
        <f t="shared" si="0"/>
        <v>0</v>
      </c>
      <c r="L57" s="1"/>
    </row>
    <row r="58" spans="2:12">
      <c r="B58" s="1"/>
      <c r="C58" s="1" t="str">
        <f>IF(ISERROR(LOOKUP(E58,Vendas!$B$3:$C$100)),"",(LOOKUP(E58,Vendas!$B$3:$C$100)))</f>
        <v/>
      </c>
      <c r="D58" s="1" t="str">
        <f>IF(ISERROR(VLOOKUP(C58,Cadastro!$D$3:$E$100,2,0)),"",(VLOOKUP(C58,Cadastro!$D$3:$E$100,2,0)))</f>
        <v/>
      </c>
      <c r="F58" s="1" t="str">
        <f>IF(ISERROR(LOOKUP(E58,Vendas!$B$3:$F$100)),"",(LOOKUP(E58,Vendas!$B$3:$F$100)))</f>
        <v/>
      </c>
      <c r="G58" s="1">
        <f>SUM(-(COUNTIFS(Entradas!$D$3:$D$100,25)),F58)</f>
        <v>0</v>
      </c>
      <c r="H58" s="19" t="str">
        <f>IF(ISERROR(LOOKUP(E58,Vendas!$B$3:$H$100)),"0",(LOOKUP(E58,Vendas!$B$3:$H$100)))</f>
        <v>0</v>
      </c>
      <c r="I58" s="19">
        <f t="shared" si="0"/>
        <v>0</v>
      </c>
      <c r="L58" s="1"/>
    </row>
    <row r="59" spans="2:12">
      <c r="B59" s="1"/>
      <c r="C59" s="1" t="str">
        <f>IF(ISERROR(LOOKUP(E59,Vendas!$B$3:$C$100)),"",(LOOKUP(E59,Vendas!$B$3:$C$100)))</f>
        <v/>
      </c>
      <c r="D59" s="1" t="str">
        <f>IF(ISERROR(VLOOKUP(C59,Cadastro!$D$3:$E$100,2,0)),"",(VLOOKUP(C59,Cadastro!$D$3:$E$100,2,0)))</f>
        <v/>
      </c>
      <c r="F59" s="1" t="str">
        <f>IF(ISERROR(LOOKUP(E59,Vendas!$B$3:$F$100)),"",(LOOKUP(E59,Vendas!$B$3:$F$100)))</f>
        <v/>
      </c>
      <c r="G59" s="1">
        <f>SUM(-(COUNTIFS(Entradas!$D$3:$D$100,25)),F59)</f>
        <v>0</v>
      </c>
      <c r="H59" s="19" t="str">
        <f>IF(ISERROR(LOOKUP(E59,Vendas!$B$3:$H$100)),"0",(LOOKUP(E59,Vendas!$B$3:$H$100)))</f>
        <v>0</v>
      </c>
      <c r="I59" s="19">
        <f t="shared" si="0"/>
        <v>0</v>
      </c>
      <c r="L59" s="1"/>
    </row>
    <row r="60" spans="2:12">
      <c r="B60" s="1"/>
      <c r="C60" s="1" t="str">
        <f>IF(ISERROR(LOOKUP(E60,Vendas!$B$3:$C$100)),"",(LOOKUP(E60,Vendas!$B$3:$C$100)))</f>
        <v/>
      </c>
      <c r="D60" s="1" t="str">
        <f>IF(ISERROR(VLOOKUP(C60,Cadastro!$D$3:$E$100,2,0)),"",(VLOOKUP(C60,Cadastro!$D$3:$E$100,2,0)))</f>
        <v/>
      </c>
      <c r="F60" s="1" t="str">
        <f>IF(ISERROR(LOOKUP(E60,Vendas!$B$3:$F$100)),"",(LOOKUP(E60,Vendas!$B$3:$F$100)))</f>
        <v/>
      </c>
      <c r="G60" s="1">
        <f>SUM(-(COUNTIFS(Entradas!$D$3:$D$100,25)),F60)</f>
        <v>0</v>
      </c>
      <c r="H60" s="19" t="str">
        <f>IF(ISERROR(LOOKUP(E60,Vendas!$B$3:$H$100)),"0",(LOOKUP(E60,Vendas!$B$3:$H$100)))</f>
        <v>0</v>
      </c>
      <c r="I60" s="19">
        <f t="shared" si="0"/>
        <v>0</v>
      </c>
      <c r="L60" s="1"/>
    </row>
    <row r="61" spans="2:12">
      <c r="B61" s="1"/>
      <c r="C61" s="1" t="str">
        <f>IF(ISERROR(LOOKUP(E61,Vendas!$B$3:$C$100)),"",(LOOKUP(E61,Vendas!$B$3:$C$100)))</f>
        <v/>
      </c>
      <c r="D61" s="1" t="str">
        <f>IF(ISERROR(VLOOKUP(C61,Cadastro!$D$3:$E$100,2,0)),"",(VLOOKUP(C61,Cadastro!$D$3:$E$100,2,0)))</f>
        <v/>
      </c>
      <c r="F61" s="1" t="str">
        <f>IF(ISERROR(LOOKUP(E61,Vendas!$B$3:$F$100)),"",(LOOKUP(E61,Vendas!$B$3:$F$100)))</f>
        <v/>
      </c>
      <c r="G61" s="1">
        <f>SUM(-(COUNTIFS(Entradas!$D$3:$D$100,25)),F61)</f>
        <v>0</v>
      </c>
      <c r="H61" s="19" t="str">
        <f>IF(ISERROR(LOOKUP(E61,Vendas!$B$3:$H$100)),"0",(LOOKUP(E61,Vendas!$B$3:$H$100)))</f>
        <v>0</v>
      </c>
      <c r="I61" s="19">
        <f t="shared" si="0"/>
        <v>0</v>
      </c>
      <c r="L61" s="1"/>
    </row>
    <row r="62" spans="2:12">
      <c r="B62" s="1"/>
      <c r="C62" s="1" t="str">
        <f>IF(ISERROR(LOOKUP(E62,Vendas!$B$3:$C$100)),"",(LOOKUP(E62,Vendas!$B$3:$C$100)))</f>
        <v/>
      </c>
      <c r="D62" s="1" t="str">
        <f>IF(ISERROR(VLOOKUP(C62,Cadastro!$D$3:$E$100,2,0)),"",(VLOOKUP(C62,Cadastro!$D$3:$E$100,2,0)))</f>
        <v/>
      </c>
      <c r="F62" s="1" t="str">
        <f>IF(ISERROR(LOOKUP(E62,Vendas!$B$3:$F$100)),"",(LOOKUP(E62,Vendas!$B$3:$F$100)))</f>
        <v/>
      </c>
      <c r="G62" s="1">
        <f>SUM(-(COUNTIFS(Entradas!$D$3:$D$100,25)),F62)</f>
        <v>0</v>
      </c>
      <c r="H62" s="19" t="str">
        <f>IF(ISERROR(LOOKUP(E62,Vendas!$B$3:$H$100)),"0",(LOOKUP(E62,Vendas!$B$3:$H$100)))</f>
        <v>0</v>
      </c>
      <c r="I62" s="19">
        <f t="shared" si="0"/>
        <v>0</v>
      </c>
      <c r="L62" s="1"/>
    </row>
    <row r="63" spans="2:12">
      <c r="B63" s="1"/>
      <c r="C63" s="1" t="str">
        <f>IF(ISERROR(LOOKUP(E63,Vendas!$B$3:$C$100)),"",(LOOKUP(E63,Vendas!$B$3:$C$100)))</f>
        <v/>
      </c>
      <c r="D63" s="1" t="str">
        <f>IF(ISERROR(VLOOKUP(C63,Cadastro!$D$3:$E$100,2,0)),"",(VLOOKUP(C63,Cadastro!$D$3:$E$100,2,0)))</f>
        <v/>
      </c>
      <c r="F63" s="1" t="str">
        <f>IF(ISERROR(LOOKUP(E63,Vendas!$B$3:$F$100)),"",(LOOKUP(E63,Vendas!$B$3:$F$100)))</f>
        <v/>
      </c>
      <c r="G63" s="1">
        <f>SUM(-(COUNTIFS(Entradas!$D$3:$D$100,25)),F63)</f>
        <v>0</v>
      </c>
      <c r="H63" s="19" t="str">
        <f>IF(ISERROR(LOOKUP(E63,Vendas!$B$3:$H$100)),"0",(LOOKUP(E63,Vendas!$B$3:$H$100)))</f>
        <v>0</v>
      </c>
      <c r="I63" s="19">
        <f t="shared" si="0"/>
        <v>0</v>
      </c>
      <c r="L63" s="1"/>
    </row>
    <row r="64" spans="2:12">
      <c r="B64" s="1"/>
      <c r="C64" s="1" t="str">
        <f>IF(ISERROR(LOOKUP(E64,Vendas!$B$3:$C$100)),"",(LOOKUP(E64,Vendas!$B$3:$C$100)))</f>
        <v/>
      </c>
      <c r="D64" s="1" t="str">
        <f>IF(ISERROR(VLOOKUP(C64,Cadastro!$D$3:$E$100,2,0)),"",(VLOOKUP(C64,Cadastro!$D$3:$E$100,2,0)))</f>
        <v/>
      </c>
      <c r="F64" s="1" t="str">
        <f>IF(ISERROR(LOOKUP(E64,Vendas!$B$3:$F$100)),"",(LOOKUP(E64,Vendas!$B$3:$F$100)))</f>
        <v/>
      </c>
      <c r="G64" s="1">
        <f>SUM(-(COUNTIFS(Entradas!$D$3:$D$100,25)),F64)</f>
        <v>0</v>
      </c>
      <c r="H64" s="19" t="str">
        <f>IF(ISERROR(LOOKUP(E64,Vendas!$B$3:$H$100)),"0",(LOOKUP(E64,Vendas!$B$3:$H$100)))</f>
        <v>0</v>
      </c>
      <c r="I64" s="19">
        <f t="shared" si="0"/>
        <v>0</v>
      </c>
      <c r="L64" s="1"/>
    </row>
    <row r="65" spans="2:12">
      <c r="B65" s="1"/>
      <c r="C65" s="1" t="str">
        <f>IF(ISERROR(LOOKUP(E65,Vendas!$B$3:$C$100)),"",(LOOKUP(E65,Vendas!$B$3:$C$100)))</f>
        <v/>
      </c>
      <c r="D65" s="1" t="str">
        <f>IF(ISERROR(VLOOKUP(C65,Cadastro!$D$3:$E$100,2,0)),"",(VLOOKUP(C65,Cadastro!$D$3:$E$100,2,0)))</f>
        <v/>
      </c>
      <c r="F65" s="1" t="str">
        <f>IF(ISERROR(LOOKUP(E65,Vendas!$B$3:$F$100)),"",(LOOKUP(E65,Vendas!$B$3:$F$100)))</f>
        <v/>
      </c>
      <c r="G65" s="1">
        <f>SUM(-(COUNTIFS(Entradas!$D$3:$D$100,25)),F65)</f>
        <v>0</v>
      </c>
      <c r="H65" s="19" t="str">
        <f>IF(ISERROR(LOOKUP(E65,Vendas!$B$3:$H$100)),"0",(LOOKUP(E65,Vendas!$B$3:$H$100)))</f>
        <v>0</v>
      </c>
      <c r="I65" s="19">
        <f t="shared" si="0"/>
        <v>0</v>
      </c>
      <c r="L65" s="1"/>
    </row>
    <row r="66" spans="2:12">
      <c r="B66" s="1"/>
      <c r="C66" s="1" t="str">
        <f>IF(ISERROR(LOOKUP(E66,Vendas!$B$3:$C$100)),"",(LOOKUP(E66,Vendas!$B$3:$C$100)))</f>
        <v/>
      </c>
      <c r="D66" s="1" t="str">
        <f>IF(ISERROR(VLOOKUP(C66,Cadastro!$D$3:$E$100,2,0)),"",(VLOOKUP(C66,Cadastro!$D$3:$E$100,2,0)))</f>
        <v/>
      </c>
      <c r="F66" s="1" t="str">
        <f>IF(ISERROR(LOOKUP(E66,Vendas!$B$3:$F$100)),"",(LOOKUP(E66,Vendas!$B$3:$F$100)))</f>
        <v/>
      </c>
      <c r="G66" s="1">
        <f>SUM(-(COUNTIFS(Entradas!$D$3:$D$100,25)),F66)</f>
        <v>0</v>
      </c>
      <c r="H66" s="19" t="str">
        <f>IF(ISERROR(LOOKUP(E66,Vendas!$B$3:$H$100)),"0",(LOOKUP(E66,Vendas!$B$3:$H$100)))</f>
        <v>0</v>
      </c>
      <c r="I66" s="19">
        <f t="shared" si="0"/>
        <v>0</v>
      </c>
      <c r="L66" s="1"/>
    </row>
    <row r="67" spans="2:12">
      <c r="B67" s="1"/>
      <c r="C67" s="1" t="str">
        <f>IF(ISERROR(LOOKUP(E67,Vendas!$B$3:$C$100)),"",(LOOKUP(E67,Vendas!$B$3:$C$100)))</f>
        <v/>
      </c>
      <c r="D67" s="1" t="str">
        <f>IF(ISERROR(VLOOKUP(C67,Cadastro!$D$3:$E$100,2,0)),"",(VLOOKUP(C67,Cadastro!$D$3:$E$100,2,0)))</f>
        <v/>
      </c>
      <c r="F67" s="1" t="str">
        <f>IF(ISERROR(LOOKUP(E67,Vendas!$B$3:$F$100)),"",(LOOKUP(E67,Vendas!$B$3:$F$100)))</f>
        <v/>
      </c>
      <c r="G67" s="1">
        <f>SUM(-(COUNTIFS(Entradas!$D$3:$D$100,25)),F67)</f>
        <v>0</v>
      </c>
      <c r="H67" s="19" t="str">
        <f>IF(ISERROR(LOOKUP(E67,Vendas!$B$3:$H$100)),"0",(LOOKUP(E67,Vendas!$B$3:$H$100)))</f>
        <v>0</v>
      </c>
      <c r="I67" s="19">
        <f t="shared" si="0"/>
        <v>0</v>
      </c>
      <c r="L67" s="1"/>
    </row>
    <row r="68" spans="2:12">
      <c r="B68" s="1"/>
      <c r="C68" s="1" t="str">
        <f>IF(ISERROR(LOOKUP(E68,Vendas!$B$3:$C$100)),"",(LOOKUP(E68,Vendas!$B$3:$C$100)))</f>
        <v/>
      </c>
      <c r="D68" s="1" t="str">
        <f>IF(ISERROR(VLOOKUP(C68,Cadastro!$D$3:$E$100,2,0)),"",(VLOOKUP(C68,Cadastro!$D$3:$E$100,2,0)))</f>
        <v/>
      </c>
      <c r="F68" s="1" t="str">
        <f>IF(ISERROR(LOOKUP(E68,Vendas!$B$3:$F$100)),"",(LOOKUP(E68,Vendas!$B$3:$F$100)))</f>
        <v/>
      </c>
      <c r="G68" s="1">
        <f>SUM(-(COUNTIFS(Entradas!$D$3:$D$100,25)),F68)</f>
        <v>0</v>
      </c>
      <c r="H68" s="19" t="str">
        <f>IF(ISERROR(LOOKUP(E68,Vendas!$B$3:$H$100)),"0",(LOOKUP(E68,Vendas!$B$3:$H$100)))</f>
        <v>0</v>
      </c>
      <c r="I68" s="19">
        <f t="shared" ref="I68:I120" si="1">(H68*G68)</f>
        <v>0</v>
      </c>
      <c r="L68" s="1"/>
    </row>
    <row r="69" spans="2:12">
      <c r="B69" s="1"/>
      <c r="C69" s="1" t="str">
        <f>IF(ISERROR(LOOKUP(E69,Vendas!$B$3:$C$100)),"",(LOOKUP(E69,Vendas!$B$3:$C$100)))</f>
        <v/>
      </c>
      <c r="D69" s="1" t="str">
        <f>IF(ISERROR(VLOOKUP(C69,Cadastro!$D$3:$E$100,2,0)),"",(VLOOKUP(C69,Cadastro!$D$3:$E$100,2,0)))</f>
        <v/>
      </c>
      <c r="F69" s="1" t="str">
        <f>IF(ISERROR(LOOKUP(E69,Vendas!$B$3:$F$100)),"",(LOOKUP(E69,Vendas!$B$3:$F$100)))</f>
        <v/>
      </c>
      <c r="G69" s="1">
        <f>SUM(-(COUNTIFS(Entradas!$D$3:$D$100,25)),F69)</f>
        <v>0</v>
      </c>
      <c r="H69" s="19" t="str">
        <f>IF(ISERROR(LOOKUP(E69,Vendas!$B$3:$H$100)),"0",(LOOKUP(E69,Vendas!$B$3:$H$100)))</f>
        <v>0</v>
      </c>
      <c r="I69" s="19">
        <f t="shared" si="1"/>
        <v>0</v>
      </c>
      <c r="L69" s="1"/>
    </row>
    <row r="70" spans="2:12">
      <c r="B70" s="1"/>
      <c r="C70" s="1" t="str">
        <f>IF(ISERROR(LOOKUP(E70,Vendas!$B$3:$C$100)),"",(LOOKUP(E70,Vendas!$B$3:$C$100)))</f>
        <v/>
      </c>
      <c r="D70" s="1" t="str">
        <f>IF(ISERROR(VLOOKUP(C70,Cadastro!$D$3:$E$100,2,0)),"",(VLOOKUP(C70,Cadastro!$D$3:$E$100,2,0)))</f>
        <v/>
      </c>
      <c r="F70" s="1" t="str">
        <f>IF(ISERROR(LOOKUP(E70,Vendas!$B$3:$F$100)),"",(LOOKUP(E70,Vendas!$B$3:$F$100)))</f>
        <v/>
      </c>
      <c r="G70" s="1">
        <f>SUM(-(COUNTIFS(Entradas!$D$3:$D$100,25)),F70)</f>
        <v>0</v>
      </c>
      <c r="H70" s="19" t="str">
        <f>IF(ISERROR(LOOKUP(E70,Vendas!$B$3:$H$100)),"0",(LOOKUP(E70,Vendas!$B$3:$H$100)))</f>
        <v>0</v>
      </c>
      <c r="I70" s="19">
        <f t="shared" si="1"/>
        <v>0</v>
      </c>
      <c r="L70" s="1"/>
    </row>
    <row r="71" spans="2:12">
      <c r="B71" s="1"/>
      <c r="C71" s="1" t="str">
        <f>IF(ISERROR(LOOKUP(E71,Vendas!$B$3:$C$100)),"",(LOOKUP(E71,Vendas!$B$3:$C$100)))</f>
        <v/>
      </c>
      <c r="D71" s="1" t="str">
        <f>IF(ISERROR(VLOOKUP(C71,Cadastro!$D$3:$E$100,2,0)),"",(VLOOKUP(C71,Cadastro!$D$3:$E$100,2,0)))</f>
        <v/>
      </c>
      <c r="F71" s="1" t="str">
        <f>IF(ISERROR(LOOKUP(E71,Vendas!$B$3:$F$100)),"",(LOOKUP(E71,Vendas!$B$3:$F$100)))</f>
        <v/>
      </c>
      <c r="G71" s="1">
        <f>SUM(-(COUNTIFS(Entradas!$D$3:$D$100,25)),F71)</f>
        <v>0</v>
      </c>
      <c r="H71" s="19" t="str">
        <f>IF(ISERROR(LOOKUP(E71,Vendas!$B$3:$H$100)),"0",(LOOKUP(E71,Vendas!$B$3:$H$100)))</f>
        <v>0</v>
      </c>
      <c r="I71" s="19">
        <f t="shared" si="1"/>
        <v>0</v>
      </c>
      <c r="L71" s="1"/>
    </row>
    <row r="72" spans="2:12">
      <c r="B72" s="1"/>
      <c r="C72" s="1" t="str">
        <f>IF(ISERROR(LOOKUP(E72,Vendas!$B$3:$C$100)),"",(LOOKUP(E72,Vendas!$B$3:$C$100)))</f>
        <v/>
      </c>
      <c r="D72" s="1" t="str">
        <f>IF(ISERROR(VLOOKUP(C72,Cadastro!$D$3:$E$100,2,0)),"",(VLOOKUP(C72,Cadastro!$D$3:$E$100,2,0)))</f>
        <v/>
      </c>
      <c r="F72" s="1" t="str">
        <f>IF(ISERROR(LOOKUP(E72,Vendas!$B$3:$F$100)),"",(LOOKUP(E72,Vendas!$B$3:$F$100)))</f>
        <v/>
      </c>
      <c r="G72" s="1">
        <f>SUM(-(COUNTIFS(Entradas!$D$3:$D$100,25)),F72)</f>
        <v>0</v>
      </c>
      <c r="H72" s="19" t="str">
        <f>IF(ISERROR(LOOKUP(E72,Vendas!$B$3:$H$100)),"0",(LOOKUP(E72,Vendas!$B$3:$H$100)))</f>
        <v>0</v>
      </c>
      <c r="I72" s="19">
        <f t="shared" si="1"/>
        <v>0</v>
      </c>
      <c r="L72" s="1"/>
    </row>
    <row r="73" spans="2:12">
      <c r="B73" s="1"/>
      <c r="C73" s="1" t="str">
        <f>IF(ISERROR(LOOKUP(E73,Vendas!$B$3:$C$100)),"",(LOOKUP(E73,Vendas!$B$3:$C$100)))</f>
        <v/>
      </c>
      <c r="D73" s="1" t="str">
        <f>IF(ISERROR(VLOOKUP(C73,Cadastro!$D$3:$E$100,2,0)),"",(VLOOKUP(C73,Cadastro!$D$3:$E$100,2,0)))</f>
        <v/>
      </c>
      <c r="F73" s="1" t="str">
        <f>IF(ISERROR(LOOKUP(E73,Vendas!$B$3:$F$100)),"",(LOOKUP(E73,Vendas!$B$3:$F$100)))</f>
        <v/>
      </c>
      <c r="G73" s="1">
        <f>SUM(-(COUNTIFS(Entradas!$D$3:$D$100,25)),F73)</f>
        <v>0</v>
      </c>
      <c r="H73" s="19" t="str">
        <f>IF(ISERROR(LOOKUP(E73,Vendas!$B$3:$H$100)),"0",(LOOKUP(E73,Vendas!$B$3:$H$100)))</f>
        <v>0</v>
      </c>
      <c r="I73" s="19">
        <f t="shared" si="1"/>
        <v>0</v>
      </c>
      <c r="L73" s="1"/>
    </row>
    <row r="74" spans="2:12">
      <c r="B74" s="1"/>
      <c r="C74" s="1" t="str">
        <f>IF(ISERROR(LOOKUP(E74,Vendas!$B$3:$C$100)),"",(LOOKUP(E74,Vendas!$B$3:$C$100)))</f>
        <v/>
      </c>
      <c r="D74" s="1" t="str">
        <f>IF(ISERROR(VLOOKUP(C74,Cadastro!$D$3:$E$100,2,0)),"",(VLOOKUP(C74,Cadastro!$D$3:$E$100,2,0)))</f>
        <v/>
      </c>
      <c r="F74" s="1" t="str">
        <f>IF(ISERROR(LOOKUP(E74,Vendas!$B$3:$F$100)),"",(LOOKUP(E74,Vendas!$B$3:$F$100)))</f>
        <v/>
      </c>
      <c r="G74" s="1">
        <f>SUM(-(COUNTIFS(Entradas!$D$3:$D$100,25)),F74)</f>
        <v>0</v>
      </c>
      <c r="H74" s="19" t="str">
        <f>IF(ISERROR(LOOKUP(E74,Vendas!$B$3:$H$100)),"0",(LOOKUP(E74,Vendas!$B$3:$H$100)))</f>
        <v>0</v>
      </c>
      <c r="I74" s="19">
        <f t="shared" si="1"/>
        <v>0</v>
      </c>
      <c r="L74" s="1"/>
    </row>
    <row r="75" spans="2:12">
      <c r="B75" s="1"/>
      <c r="C75" s="1" t="str">
        <f>IF(ISERROR(LOOKUP(E75,Vendas!$B$3:$C$100)),"",(LOOKUP(E75,Vendas!$B$3:$C$100)))</f>
        <v/>
      </c>
      <c r="D75" s="1" t="str">
        <f>IF(ISERROR(VLOOKUP(C75,Cadastro!$D$3:$E$100,2,0)),"",(VLOOKUP(C75,Cadastro!$D$3:$E$100,2,0)))</f>
        <v/>
      </c>
      <c r="F75" s="1" t="str">
        <f>IF(ISERROR(LOOKUP(E75,Vendas!$B$3:$F$100)),"",(LOOKUP(E75,Vendas!$B$3:$F$100)))</f>
        <v/>
      </c>
      <c r="G75" s="1">
        <f>SUM(-(COUNTIFS(Entradas!$D$3:$D$100,25)),F75)</f>
        <v>0</v>
      </c>
      <c r="H75" s="19" t="str">
        <f>IF(ISERROR(LOOKUP(E75,Vendas!$B$3:$H$100)),"0",(LOOKUP(E75,Vendas!$B$3:$H$100)))</f>
        <v>0</v>
      </c>
      <c r="I75" s="19">
        <f t="shared" si="1"/>
        <v>0</v>
      </c>
      <c r="L75" s="1"/>
    </row>
    <row r="76" spans="2:12">
      <c r="B76" s="1"/>
      <c r="C76" s="1" t="str">
        <f>IF(ISERROR(LOOKUP(E76,Vendas!$B$3:$C$100)),"",(LOOKUP(E76,Vendas!$B$3:$C$100)))</f>
        <v/>
      </c>
      <c r="D76" s="1" t="str">
        <f>IF(ISERROR(VLOOKUP(C76,Cadastro!$D$3:$E$100,2,0)),"",(VLOOKUP(C76,Cadastro!$D$3:$E$100,2,0)))</f>
        <v/>
      </c>
      <c r="F76" s="1" t="str">
        <f>IF(ISERROR(LOOKUP(E76,Vendas!$B$3:$F$100)),"",(LOOKUP(E76,Vendas!$B$3:$F$100)))</f>
        <v/>
      </c>
      <c r="G76" s="1">
        <f>SUM(-(COUNTIFS(Entradas!$D$3:$D$100,25)),F76)</f>
        <v>0</v>
      </c>
      <c r="H76" s="19" t="str">
        <f>IF(ISERROR(LOOKUP(E76,Vendas!$B$3:$H$100)),"0",(LOOKUP(E76,Vendas!$B$3:$H$100)))</f>
        <v>0</v>
      </c>
      <c r="I76" s="19">
        <f t="shared" si="1"/>
        <v>0</v>
      </c>
      <c r="L76" s="1"/>
    </row>
    <row r="77" spans="2:12">
      <c r="B77" s="1"/>
      <c r="C77" s="1" t="str">
        <f>IF(ISERROR(LOOKUP(E77,Vendas!$B$3:$C$100)),"",(LOOKUP(E77,Vendas!$B$3:$C$100)))</f>
        <v/>
      </c>
      <c r="D77" s="1" t="str">
        <f>IF(ISERROR(VLOOKUP(C77,Cadastro!$D$3:$E$100,2,0)),"",(VLOOKUP(C77,Cadastro!$D$3:$E$100,2,0)))</f>
        <v/>
      </c>
      <c r="F77" s="1" t="str">
        <f>IF(ISERROR(LOOKUP(E77,Vendas!$B$3:$F$100)),"",(LOOKUP(E77,Vendas!$B$3:$F$100)))</f>
        <v/>
      </c>
      <c r="G77" s="1">
        <f>SUM(-(COUNTIFS(Entradas!$D$3:$D$100,25)),F77)</f>
        <v>0</v>
      </c>
      <c r="H77" s="19" t="str">
        <f>IF(ISERROR(LOOKUP(E77,Vendas!$B$3:$H$100)),"0",(LOOKUP(E77,Vendas!$B$3:$H$100)))</f>
        <v>0</v>
      </c>
      <c r="I77" s="19">
        <f t="shared" si="1"/>
        <v>0</v>
      </c>
      <c r="L77" s="1"/>
    </row>
    <row r="78" spans="2:12">
      <c r="B78" s="1"/>
      <c r="C78" s="1" t="str">
        <f>IF(ISERROR(LOOKUP(E78,Vendas!$B$3:$C$100)),"",(LOOKUP(E78,Vendas!$B$3:$C$100)))</f>
        <v/>
      </c>
      <c r="D78" s="1" t="str">
        <f>IF(ISERROR(VLOOKUP(C78,Cadastro!$D$3:$E$100,2,0)),"",(VLOOKUP(C78,Cadastro!$D$3:$E$100,2,0)))</f>
        <v/>
      </c>
      <c r="F78" s="1" t="str">
        <f>IF(ISERROR(LOOKUP(E78,Vendas!$B$3:$F$100)),"",(LOOKUP(E78,Vendas!$B$3:$F$100)))</f>
        <v/>
      </c>
      <c r="G78" s="1">
        <f>SUM(-(COUNTIFS(Entradas!$D$3:$D$100,25)),F78)</f>
        <v>0</v>
      </c>
      <c r="H78" s="19" t="str">
        <f>IF(ISERROR(LOOKUP(E78,Vendas!$B$3:$H$100)),"0",(LOOKUP(E78,Vendas!$B$3:$H$100)))</f>
        <v>0</v>
      </c>
      <c r="I78" s="19">
        <f t="shared" si="1"/>
        <v>0</v>
      </c>
      <c r="L78" s="1"/>
    </row>
    <row r="79" spans="2:12">
      <c r="B79" s="1"/>
      <c r="C79" s="1" t="str">
        <f>IF(ISERROR(LOOKUP(E79,Vendas!$B$3:$C$100)),"",(LOOKUP(E79,Vendas!$B$3:$C$100)))</f>
        <v/>
      </c>
      <c r="D79" s="1" t="str">
        <f>IF(ISERROR(VLOOKUP(C79,Cadastro!$D$3:$E$100,2,0)),"",(VLOOKUP(C79,Cadastro!$D$3:$E$100,2,0)))</f>
        <v/>
      </c>
      <c r="F79" s="1" t="str">
        <f>IF(ISERROR(LOOKUP(E79,Vendas!$B$3:$F$100)),"",(LOOKUP(E79,Vendas!$B$3:$F$100)))</f>
        <v/>
      </c>
      <c r="G79" s="1">
        <f>SUM(-(COUNTIFS(Entradas!$D$3:$D$100,25)),F79)</f>
        <v>0</v>
      </c>
      <c r="H79" s="19" t="str">
        <f>IF(ISERROR(LOOKUP(E79,Vendas!$B$3:$H$100)),"0",(LOOKUP(E79,Vendas!$B$3:$H$100)))</f>
        <v>0</v>
      </c>
      <c r="I79" s="19">
        <f t="shared" si="1"/>
        <v>0</v>
      </c>
      <c r="L79" s="1"/>
    </row>
    <row r="80" spans="2:12">
      <c r="B80" s="1"/>
      <c r="C80" s="1" t="str">
        <f>IF(ISERROR(LOOKUP(E80,Vendas!$B$3:$C$100)),"",(LOOKUP(E80,Vendas!$B$3:$C$100)))</f>
        <v/>
      </c>
      <c r="D80" s="1" t="str">
        <f>IF(ISERROR(VLOOKUP(C80,Cadastro!$D$3:$E$100,2,0)),"",(VLOOKUP(C80,Cadastro!$D$3:$E$100,2,0)))</f>
        <v/>
      </c>
      <c r="F80" s="1" t="str">
        <f>IF(ISERROR(LOOKUP(E80,Vendas!$B$3:$F$100)),"",(LOOKUP(E80,Vendas!$B$3:$F$100)))</f>
        <v/>
      </c>
      <c r="G80" s="1">
        <f>SUM(-(COUNTIFS(Entradas!$D$3:$D$100,25)),F80)</f>
        <v>0</v>
      </c>
      <c r="H80" s="19" t="str">
        <f>IF(ISERROR(LOOKUP(E80,Vendas!$B$3:$H$100)),"0",(LOOKUP(E80,Vendas!$B$3:$H$100)))</f>
        <v>0</v>
      </c>
      <c r="I80" s="19">
        <f t="shared" si="1"/>
        <v>0</v>
      </c>
      <c r="L80" s="1"/>
    </row>
    <row r="81" spans="2:12">
      <c r="B81" s="1"/>
      <c r="C81" s="1" t="str">
        <f>IF(ISERROR(LOOKUP(E81,Vendas!$B$3:$C$100)),"",(LOOKUP(E81,Vendas!$B$3:$C$100)))</f>
        <v/>
      </c>
      <c r="D81" s="1" t="str">
        <f>IF(ISERROR(VLOOKUP(C81,Cadastro!$D$3:$E$100,2,0)),"",(VLOOKUP(C81,Cadastro!$D$3:$E$100,2,0)))</f>
        <v/>
      </c>
      <c r="F81" s="1" t="str">
        <f>IF(ISERROR(LOOKUP(E81,Vendas!$B$3:$F$100)),"",(LOOKUP(E81,Vendas!$B$3:$F$100)))</f>
        <v/>
      </c>
      <c r="G81" s="1">
        <f>SUM(-(COUNTIFS(Entradas!$D$3:$D$100,25)),F81)</f>
        <v>0</v>
      </c>
      <c r="H81" s="19" t="str">
        <f>IF(ISERROR(LOOKUP(E81,Vendas!$B$3:$H$100)),"0",(LOOKUP(E81,Vendas!$B$3:$H$100)))</f>
        <v>0</v>
      </c>
      <c r="I81" s="19">
        <f t="shared" si="1"/>
        <v>0</v>
      </c>
      <c r="L81" s="1"/>
    </row>
    <row r="82" spans="2:12">
      <c r="B82" s="1"/>
      <c r="C82" s="1" t="str">
        <f>IF(ISERROR(LOOKUP(E82,Vendas!$B$3:$C$100)),"",(LOOKUP(E82,Vendas!$B$3:$C$100)))</f>
        <v/>
      </c>
      <c r="D82" s="1" t="str">
        <f>IF(ISERROR(VLOOKUP(C82,Cadastro!$D$3:$E$100,2,0)),"",(VLOOKUP(C82,Cadastro!$D$3:$E$100,2,0)))</f>
        <v/>
      </c>
      <c r="F82" s="1" t="str">
        <f>IF(ISERROR(LOOKUP(E82,Vendas!$B$3:$F$100)),"",(LOOKUP(E82,Vendas!$B$3:$F$100)))</f>
        <v/>
      </c>
      <c r="G82" s="1">
        <f>SUM(-(COUNTIFS(Entradas!$D$3:$D$100,25)),F82)</f>
        <v>0</v>
      </c>
      <c r="H82" s="19" t="str">
        <f>IF(ISERROR(LOOKUP(E82,Vendas!$B$3:$H$100)),"0",(LOOKUP(E82,Vendas!$B$3:$H$100)))</f>
        <v>0</v>
      </c>
      <c r="I82" s="19">
        <f t="shared" si="1"/>
        <v>0</v>
      </c>
      <c r="L82" s="1"/>
    </row>
    <row r="83" spans="2:12">
      <c r="B83" s="1"/>
      <c r="C83" s="1" t="str">
        <f>IF(ISERROR(LOOKUP(E83,Vendas!$B$3:$C$100)),"",(LOOKUP(E83,Vendas!$B$3:$C$100)))</f>
        <v/>
      </c>
      <c r="D83" s="1" t="str">
        <f>IF(ISERROR(VLOOKUP(C83,Cadastro!$D$3:$E$100,2,0)),"",(VLOOKUP(C83,Cadastro!$D$3:$E$100,2,0)))</f>
        <v/>
      </c>
      <c r="F83" s="1" t="str">
        <f>IF(ISERROR(LOOKUP(E83,Vendas!$B$3:$F$100)),"",(LOOKUP(E83,Vendas!$B$3:$F$100)))</f>
        <v/>
      </c>
      <c r="G83" s="1">
        <f>SUM(-(COUNTIFS(Entradas!$D$3:$D$100,25)),F83)</f>
        <v>0</v>
      </c>
      <c r="H83" s="19" t="str">
        <f>IF(ISERROR(LOOKUP(E83,Vendas!$B$3:$H$100)),"0",(LOOKUP(E83,Vendas!$B$3:$H$100)))</f>
        <v>0</v>
      </c>
      <c r="I83" s="19">
        <f t="shared" si="1"/>
        <v>0</v>
      </c>
      <c r="L83" s="1"/>
    </row>
    <row r="84" spans="2:12">
      <c r="B84" s="1"/>
      <c r="C84" s="1" t="str">
        <f>IF(ISERROR(LOOKUP(E84,Vendas!$B$3:$C$100)),"",(LOOKUP(E84,Vendas!$B$3:$C$100)))</f>
        <v/>
      </c>
      <c r="D84" s="1" t="str">
        <f>IF(ISERROR(VLOOKUP(C84,Cadastro!$D$3:$E$100,2,0)),"",(VLOOKUP(C84,Cadastro!$D$3:$E$100,2,0)))</f>
        <v/>
      </c>
      <c r="F84" s="1" t="str">
        <f>IF(ISERROR(LOOKUP(E84,Vendas!$B$3:$F$100)),"",(LOOKUP(E84,Vendas!$B$3:$F$100)))</f>
        <v/>
      </c>
      <c r="G84" s="1">
        <f>SUM(-(COUNTIFS(Entradas!$D$3:$D$100,25)),F84)</f>
        <v>0</v>
      </c>
      <c r="H84" s="19" t="str">
        <f>IF(ISERROR(LOOKUP(E84,Vendas!$B$3:$H$100)),"0",(LOOKUP(E84,Vendas!$B$3:$H$100)))</f>
        <v>0</v>
      </c>
      <c r="I84" s="19">
        <f t="shared" si="1"/>
        <v>0</v>
      </c>
      <c r="L84" s="1"/>
    </row>
    <row r="85" spans="2:12">
      <c r="B85" s="1"/>
      <c r="C85" s="1" t="str">
        <f>IF(ISERROR(LOOKUP(E85,Vendas!$B$3:$C$100)),"",(LOOKUP(E85,Vendas!$B$3:$C$100)))</f>
        <v/>
      </c>
      <c r="D85" s="1" t="str">
        <f>IF(ISERROR(VLOOKUP(C85,Cadastro!$D$3:$E$100,2,0)),"",(VLOOKUP(C85,Cadastro!$D$3:$E$100,2,0)))</f>
        <v/>
      </c>
      <c r="F85" s="1" t="str">
        <f>IF(ISERROR(LOOKUP(E85,Vendas!$B$3:$F$100)),"",(LOOKUP(E85,Vendas!$B$3:$F$100)))</f>
        <v/>
      </c>
      <c r="G85" s="1">
        <f>SUM(-(COUNTIFS(Entradas!$D$3:$D$100,25)),F85)</f>
        <v>0</v>
      </c>
      <c r="H85" s="19" t="str">
        <f>IF(ISERROR(LOOKUP(E85,Vendas!$B$3:$H$100)),"0",(LOOKUP(E85,Vendas!$B$3:$H$100)))</f>
        <v>0</v>
      </c>
      <c r="I85" s="19">
        <f t="shared" si="1"/>
        <v>0</v>
      </c>
      <c r="L85" s="1"/>
    </row>
    <row r="86" spans="2:12">
      <c r="B86" s="1"/>
      <c r="C86" s="1" t="str">
        <f>IF(ISERROR(LOOKUP(E86,Vendas!$B$3:$C$100)),"",(LOOKUP(E86,Vendas!$B$3:$C$100)))</f>
        <v/>
      </c>
      <c r="D86" s="1" t="str">
        <f>IF(ISERROR(VLOOKUP(C86,Cadastro!$D$3:$E$100,2,0)),"",(VLOOKUP(C86,Cadastro!$D$3:$E$100,2,0)))</f>
        <v/>
      </c>
      <c r="F86" s="1" t="str">
        <f>IF(ISERROR(LOOKUP(E86,Vendas!$B$3:$F$100)),"",(LOOKUP(E86,Vendas!$B$3:$F$100)))</f>
        <v/>
      </c>
      <c r="G86" s="1">
        <f>SUM(-(COUNTIFS(Entradas!$D$3:$D$100,25)),F86)</f>
        <v>0</v>
      </c>
      <c r="H86" s="19" t="str">
        <f>IF(ISERROR(LOOKUP(E86,Vendas!$B$3:$H$100)),"0",(LOOKUP(E86,Vendas!$B$3:$H$100)))</f>
        <v>0</v>
      </c>
      <c r="I86" s="19">
        <f t="shared" si="1"/>
        <v>0</v>
      </c>
      <c r="L86" s="1"/>
    </row>
    <row r="87" spans="2:12">
      <c r="B87" s="1"/>
      <c r="C87" s="1" t="str">
        <f>IF(ISERROR(LOOKUP(E87,Vendas!$B$3:$C$100)),"",(LOOKUP(E87,Vendas!$B$3:$C$100)))</f>
        <v/>
      </c>
      <c r="D87" s="1" t="str">
        <f>IF(ISERROR(VLOOKUP(C87,Cadastro!$D$3:$E$100,2,0)),"",(VLOOKUP(C87,Cadastro!$D$3:$E$100,2,0)))</f>
        <v/>
      </c>
      <c r="F87" s="1" t="str">
        <f>IF(ISERROR(LOOKUP(E87,Vendas!$B$3:$F$100)),"",(LOOKUP(E87,Vendas!$B$3:$F$100)))</f>
        <v/>
      </c>
      <c r="G87" s="1">
        <f>SUM(-(COUNTIFS(Entradas!$D$3:$D$100,25)),F87)</f>
        <v>0</v>
      </c>
      <c r="H87" s="19" t="str">
        <f>IF(ISERROR(LOOKUP(E87,Vendas!$B$3:$H$100)),"0",(LOOKUP(E87,Vendas!$B$3:$H$100)))</f>
        <v>0</v>
      </c>
      <c r="I87" s="19">
        <f t="shared" si="1"/>
        <v>0</v>
      </c>
      <c r="L87" s="1"/>
    </row>
    <row r="88" spans="2:12">
      <c r="B88" s="1"/>
      <c r="C88" s="1" t="str">
        <f>IF(ISERROR(LOOKUP(E88,Vendas!$B$3:$C$100)),"",(LOOKUP(E88,Vendas!$B$3:$C$100)))</f>
        <v/>
      </c>
      <c r="D88" s="1" t="str">
        <f>IF(ISERROR(VLOOKUP(C88,Cadastro!$D$3:$E$100,2,0)),"",(VLOOKUP(C88,Cadastro!$D$3:$E$100,2,0)))</f>
        <v/>
      </c>
      <c r="F88" s="1" t="str">
        <f>IF(ISERROR(LOOKUP(E88,Vendas!$B$3:$F$100)),"",(LOOKUP(E88,Vendas!$B$3:$F$100)))</f>
        <v/>
      </c>
      <c r="G88" s="1">
        <f>SUM(-(COUNTIFS(Entradas!$D$3:$D$100,25)),F88)</f>
        <v>0</v>
      </c>
      <c r="H88" s="19" t="str">
        <f>IF(ISERROR(LOOKUP(E88,Vendas!$B$3:$H$100)),"0",(LOOKUP(E88,Vendas!$B$3:$H$100)))</f>
        <v>0</v>
      </c>
      <c r="I88" s="19">
        <f t="shared" si="1"/>
        <v>0</v>
      </c>
      <c r="L88" s="1"/>
    </row>
    <row r="89" spans="2:12">
      <c r="B89" s="1"/>
      <c r="C89" s="1" t="str">
        <f>IF(ISERROR(LOOKUP(E89,Vendas!$B$3:$C$100)),"",(LOOKUP(E89,Vendas!$B$3:$C$100)))</f>
        <v/>
      </c>
      <c r="D89" s="1" t="str">
        <f>IF(ISERROR(VLOOKUP(C89,Cadastro!$D$3:$E$100,2,0)),"",(VLOOKUP(C89,Cadastro!$D$3:$E$100,2,0)))</f>
        <v/>
      </c>
      <c r="F89" s="1" t="str">
        <f>IF(ISERROR(LOOKUP(E89,Vendas!$B$3:$F$100)),"",(LOOKUP(E89,Vendas!$B$3:$F$100)))</f>
        <v/>
      </c>
      <c r="G89" s="1">
        <f>SUM(-(COUNTIFS(Entradas!$D$3:$D$100,25)),F89)</f>
        <v>0</v>
      </c>
      <c r="H89" s="19" t="str">
        <f>IF(ISERROR(LOOKUP(E89,Vendas!$B$3:$H$100)),"0",(LOOKUP(E89,Vendas!$B$3:$H$100)))</f>
        <v>0</v>
      </c>
      <c r="I89" s="19">
        <f t="shared" si="1"/>
        <v>0</v>
      </c>
      <c r="L89" s="1"/>
    </row>
    <row r="90" spans="2:12">
      <c r="B90" s="1"/>
      <c r="C90" s="1" t="str">
        <f>IF(ISERROR(LOOKUP(E90,Vendas!$B$3:$C$100)),"",(LOOKUP(E90,Vendas!$B$3:$C$100)))</f>
        <v/>
      </c>
      <c r="D90" s="1" t="str">
        <f>IF(ISERROR(VLOOKUP(C90,Cadastro!$D$3:$E$100,2,0)),"",(VLOOKUP(C90,Cadastro!$D$3:$E$100,2,0)))</f>
        <v/>
      </c>
      <c r="F90" s="1" t="str">
        <f>IF(ISERROR(LOOKUP(E90,Vendas!$B$3:$F$100)),"",(LOOKUP(E90,Vendas!$B$3:$F$100)))</f>
        <v/>
      </c>
      <c r="G90" s="1">
        <f>SUM(-(COUNTIFS(Entradas!$D$3:$D$100,25)),F90)</f>
        <v>0</v>
      </c>
      <c r="H90" s="19" t="str">
        <f>IF(ISERROR(LOOKUP(E90,Vendas!$B$3:$H$100)),"0",(LOOKUP(E90,Vendas!$B$3:$H$100)))</f>
        <v>0</v>
      </c>
      <c r="I90" s="19">
        <f t="shared" si="1"/>
        <v>0</v>
      </c>
      <c r="L90" s="1"/>
    </row>
    <row r="91" spans="2:12">
      <c r="B91" s="1"/>
      <c r="C91" s="1" t="str">
        <f>IF(ISERROR(LOOKUP(E91,Vendas!$B$3:$C$100)),"",(LOOKUP(E91,Vendas!$B$3:$C$100)))</f>
        <v/>
      </c>
      <c r="D91" s="1" t="str">
        <f>IF(ISERROR(VLOOKUP(C91,Cadastro!$D$3:$E$100,2,0)),"",(VLOOKUP(C91,Cadastro!$D$3:$E$100,2,0)))</f>
        <v/>
      </c>
      <c r="F91" s="1" t="str">
        <f>IF(ISERROR(LOOKUP(E91,Vendas!$B$3:$F$100)),"",(LOOKUP(E91,Vendas!$B$3:$F$100)))</f>
        <v/>
      </c>
      <c r="G91" s="1">
        <f>SUM(-(COUNTIFS(Entradas!$D$3:$D$100,25)),F91)</f>
        <v>0</v>
      </c>
      <c r="H91" s="19" t="str">
        <f>IF(ISERROR(LOOKUP(E91,Vendas!$B$3:$H$100)),"0",(LOOKUP(E91,Vendas!$B$3:$H$100)))</f>
        <v>0</v>
      </c>
      <c r="I91" s="19">
        <f t="shared" si="1"/>
        <v>0</v>
      </c>
      <c r="L91" s="1"/>
    </row>
    <row r="92" spans="2:12">
      <c r="B92" s="1"/>
      <c r="C92" s="1" t="str">
        <f>IF(ISERROR(LOOKUP(E92,Vendas!$B$3:$C$100)),"",(LOOKUP(E92,Vendas!$B$3:$C$100)))</f>
        <v/>
      </c>
      <c r="D92" s="1" t="str">
        <f>IF(ISERROR(VLOOKUP(C92,Cadastro!$D$3:$E$100,2,0)),"",(VLOOKUP(C92,Cadastro!$D$3:$E$100,2,0)))</f>
        <v/>
      </c>
      <c r="F92" s="1" t="str">
        <f>IF(ISERROR(LOOKUP(E92,Vendas!$B$3:$F$100)),"",(LOOKUP(E92,Vendas!$B$3:$F$100)))</f>
        <v/>
      </c>
      <c r="G92" s="1">
        <f>SUM(-(COUNTIFS(Entradas!$D$3:$D$100,25)),F92)</f>
        <v>0</v>
      </c>
      <c r="H92" s="19" t="str">
        <f>IF(ISERROR(LOOKUP(E92,Vendas!$B$3:$H$100)),"0",(LOOKUP(E92,Vendas!$B$3:$H$100)))</f>
        <v>0</v>
      </c>
      <c r="I92" s="19">
        <f t="shared" si="1"/>
        <v>0</v>
      </c>
      <c r="L92" s="1"/>
    </row>
    <row r="93" spans="2:12">
      <c r="B93" s="1"/>
      <c r="C93" s="1" t="str">
        <f>IF(ISERROR(LOOKUP(E93,Vendas!$B$3:$C$100)),"",(LOOKUP(E93,Vendas!$B$3:$C$100)))</f>
        <v/>
      </c>
      <c r="D93" s="1" t="str">
        <f>IF(ISERROR(VLOOKUP(C93,Cadastro!$D$3:$E$100,2,0)),"",(VLOOKUP(C93,Cadastro!$D$3:$E$100,2,0)))</f>
        <v/>
      </c>
      <c r="F93" s="1" t="str">
        <f>IF(ISERROR(LOOKUP(E93,Vendas!$B$3:$F$100)),"",(LOOKUP(E93,Vendas!$B$3:$F$100)))</f>
        <v/>
      </c>
      <c r="G93" s="1">
        <f>SUM(-(COUNTIFS(Entradas!$D$3:$D$100,25)),F93)</f>
        <v>0</v>
      </c>
      <c r="H93" s="19" t="str">
        <f>IF(ISERROR(LOOKUP(E93,Vendas!$B$3:$H$100)),"0",(LOOKUP(E93,Vendas!$B$3:$H$100)))</f>
        <v>0</v>
      </c>
      <c r="I93" s="19">
        <f t="shared" si="1"/>
        <v>0</v>
      </c>
      <c r="L93" s="1"/>
    </row>
    <row r="94" spans="2:12">
      <c r="B94" s="1"/>
      <c r="C94" s="1" t="str">
        <f>IF(ISERROR(LOOKUP(E94,Vendas!$B$3:$C$100)),"",(LOOKUP(E94,Vendas!$B$3:$C$100)))</f>
        <v/>
      </c>
      <c r="D94" s="1" t="str">
        <f>IF(ISERROR(VLOOKUP(C94,Cadastro!$D$3:$E$100,2,0)),"",(VLOOKUP(C94,Cadastro!$D$3:$E$100,2,0)))</f>
        <v/>
      </c>
      <c r="F94" s="1" t="str">
        <f>IF(ISERROR(LOOKUP(E94,Vendas!$B$3:$F$100)),"",(LOOKUP(E94,Vendas!$B$3:$F$100)))</f>
        <v/>
      </c>
      <c r="G94" s="1">
        <f>SUM(-(COUNTIFS(Entradas!$D$3:$D$100,25)),F94)</f>
        <v>0</v>
      </c>
      <c r="H94" s="19" t="str">
        <f>IF(ISERROR(LOOKUP(E94,Vendas!$B$3:$H$100)),"0",(LOOKUP(E94,Vendas!$B$3:$H$100)))</f>
        <v>0</v>
      </c>
      <c r="I94" s="19">
        <f t="shared" si="1"/>
        <v>0</v>
      </c>
      <c r="L94" s="1"/>
    </row>
    <row r="95" spans="2:12">
      <c r="B95" s="1"/>
      <c r="C95" s="1" t="str">
        <f>IF(ISERROR(LOOKUP(E95,Vendas!$B$3:$C$100)),"",(LOOKUP(E95,Vendas!$B$3:$C$100)))</f>
        <v/>
      </c>
      <c r="D95" s="1" t="str">
        <f>IF(ISERROR(VLOOKUP(C95,Cadastro!$D$3:$E$100,2,0)),"",(VLOOKUP(C95,Cadastro!$D$3:$E$100,2,0)))</f>
        <v/>
      </c>
      <c r="F95" s="1" t="str">
        <f>IF(ISERROR(LOOKUP(E95,Vendas!$B$3:$F$100)),"",(LOOKUP(E95,Vendas!$B$3:$F$100)))</f>
        <v/>
      </c>
      <c r="G95" s="1">
        <f>SUM(-(COUNTIFS(Entradas!$D$3:$D$100,25)),F95)</f>
        <v>0</v>
      </c>
      <c r="H95" s="19" t="str">
        <f>IF(ISERROR(LOOKUP(E95,Vendas!$B$3:$H$100)),"0",(LOOKUP(E95,Vendas!$B$3:$H$100)))</f>
        <v>0</v>
      </c>
      <c r="I95" s="19">
        <f t="shared" si="1"/>
        <v>0</v>
      </c>
      <c r="L95" s="1"/>
    </row>
    <row r="96" spans="2:12">
      <c r="B96" s="1"/>
      <c r="C96" s="1" t="str">
        <f>IF(ISERROR(LOOKUP(E96,Vendas!$B$3:$C$100)),"",(LOOKUP(E96,Vendas!$B$3:$C$100)))</f>
        <v/>
      </c>
      <c r="D96" s="1" t="str">
        <f>IF(ISERROR(VLOOKUP(C96,Cadastro!$D$3:$E$100,2,0)),"",(VLOOKUP(C96,Cadastro!$D$3:$E$100,2,0)))</f>
        <v/>
      </c>
      <c r="F96" s="1" t="str">
        <f>IF(ISERROR(LOOKUP(E96,Vendas!$B$3:$F$100)),"",(LOOKUP(E96,Vendas!$B$3:$F$100)))</f>
        <v/>
      </c>
      <c r="G96" s="1">
        <f>SUM(-(COUNTIFS(Entradas!$D$3:$D$100,25)),F96)</f>
        <v>0</v>
      </c>
      <c r="H96" s="19" t="str">
        <f>IF(ISERROR(LOOKUP(E96,Vendas!$B$3:$H$100)),"0",(LOOKUP(E96,Vendas!$B$3:$H$100)))</f>
        <v>0</v>
      </c>
      <c r="I96" s="19">
        <f t="shared" si="1"/>
        <v>0</v>
      </c>
      <c r="L96" s="1"/>
    </row>
    <row r="97" spans="2:12">
      <c r="B97" s="1"/>
      <c r="C97" s="1" t="str">
        <f>IF(ISERROR(LOOKUP(E97,Vendas!$B$3:$C$100)),"",(LOOKUP(E97,Vendas!$B$3:$C$100)))</f>
        <v/>
      </c>
      <c r="D97" s="1" t="str">
        <f>IF(ISERROR(VLOOKUP(C97,Cadastro!$D$3:$E$100,2,0)),"",(VLOOKUP(C97,Cadastro!$D$3:$E$100,2,0)))</f>
        <v/>
      </c>
      <c r="F97" s="1" t="str">
        <f>IF(ISERROR(LOOKUP(E97,Vendas!$B$3:$F$100)),"",(LOOKUP(E97,Vendas!$B$3:$F$100)))</f>
        <v/>
      </c>
      <c r="G97" s="1">
        <f>SUM(-(COUNTIFS(Entradas!$D$3:$D$100,25)),F97)</f>
        <v>0</v>
      </c>
      <c r="H97" s="19" t="str">
        <f>IF(ISERROR(LOOKUP(E97,Vendas!$B$3:$H$100)),"0",(LOOKUP(E97,Vendas!$B$3:$H$100)))</f>
        <v>0</v>
      </c>
      <c r="I97" s="19">
        <f t="shared" si="1"/>
        <v>0</v>
      </c>
      <c r="L97" s="1"/>
    </row>
    <row r="98" spans="2:12">
      <c r="B98" s="1"/>
      <c r="C98" s="1" t="str">
        <f>IF(ISERROR(LOOKUP(E98,Vendas!$B$3:$C$100)),"",(LOOKUP(E98,Vendas!$B$3:$C$100)))</f>
        <v/>
      </c>
      <c r="D98" s="1" t="str">
        <f>IF(ISERROR(VLOOKUP(C98,Cadastro!$D$3:$E$100,2,0)),"",(VLOOKUP(C98,Cadastro!$D$3:$E$100,2,0)))</f>
        <v/>
      </c>
      <c r="F98" s="1" t="str">
        <f>IF(ISERROR(LOOKUP(E98,Vendas!$B$3:$F$100)),"",(LOOKUP(E98,Vendas!$B$3:$F$100)))</f>
        <v/>
      </c>
      <c r="G98" s="1">
        <f>SUM(-(COUNTIFS(Entradas!$D$3:$D$100,25)),F98)</f>
        <v>0</v>
      </c>
      <c r="H98" s="19" t="str">
        <f>IF(ISERROR(LOOKUP(E98,Vendas!$B$3:$H$100)),"0",(LOOKUP(E98,Vendas!$B$3:$H$100)))</f>
        <v>0</v>
      </c>
      <c r="I98" s="19">
        <f t="shared" si="1"/>
        <v>0</v>
      </c>
      <c r="L98" s="1"/>
    </row>
    <row r="99" spans="2:12">
      <c r="B99" s="1"/>
      <c r="C99" s="1" t="str">
        <f>IF(ISERROR(LOOKUP(E99,Vendas!$B$3:$C$100)),"",(LOOKUP(E99,Vendas!$B$3:$C$100)))</f>
        <v/>
      </c>
      <c r="D99" s="1" t="str">
        <f>IF(ISERROR(VLOOKUP(C99,Cadastro!$D$3:$E$100,2,0)),"",(VLOOKUP(C99,Cadastro!$D$3:$E$100,2,0)))</f>
        <v/>
      </c>
      <c r="F99" s="1" t="str">
        <f>IF(ISERROR(LOOKUP(E99,Vendas!$B$3:$F$100)),"",(LOOKUP(E99,Vendas!$B$3:$F$100)))</f>
        <v/>
      </c>
      <c r="G99" s="1">
        <f>SUM(-(COUNTIFS(Entradas!$D$3:$D$100,25)),F99)</f>
        <v>0</v>
      </c>
      <c r="H99" s="19" t="str">
        <f>IF(ISERROR(LOOKUP(E99,Vendas!$B$3:$H$100)),"0",(LOOKUP(E99,Vendas!$B$3:$H$100)))</f>
        <v>0</v>
      </c>
      <c r="I99" s="19">
        <f t="shared" si="1"/>
        <v>0</v>
      </c>
      <c r="L99" s="1"/>
    </row>
    <row r="100" spans="2:12">
      <c r="B100" s="1"/>
      <c r="C100" s="1" t="str">
        <f>IF(ISERROR(LOOKUP(E100,Vendas!$B$3:$C$100)),"",(LOOKUP(E100,Vendas!$B$3:$C$100)))</f>
        <v/>
      </c>
      <c r="D100" s="1" t="str">
        <f>IF(ISERROR(VLOOKUP(C100,Cadastro!$D$3:$E$100,2,0)),"",(VLOOKUP(C100,Cadastro!$D$3:$E$100,2,0)))</f>
        <v/>
      </c>
      <c r="F100" s="1" t="str">
        <f>IF(ISERROR(LOOKUP(E100,Vendas!$B$3:$F$100)),"",(LOOKUP(E100,Vendas!$B$3:$F$100)))</f>
        <v/>
      </c>
      <c r="G100" s="1">
        <f>SUM(-(COUNTIFS(Entradas!$D$3:$D$100,25)),F100)</f>
        <v>0</v>
      </c>
      <c r="H100" s="19" t="str">
        <f>IF(ISERROR(LOOKUP(E100,Vendas!$B$3:$H$100)),"0",(LOOKUP(E100,Vendas!$B$3:$H$100)))</f>
        <v>0</v>
      </c>
      <c r="I100" s="19">
        <f t="shared" si="1"/>
        <v>0</v>
      </c>
      <c r="L100" s="1"/>
    </row>
    <row r="101" spans="2:12">
      <c r="B101" s="1"/>
      <c r="C101" s="1" t="str">
        <f>IF(ISERROR(LOOKUP(E101,Vendas!$B$3:$C$100)),"",(LOOKUP(E101,Vendas!$B$3:$C$100)))</f>
        <v/>
      </c>
      <c r="D101" s="1" t="str">
        <f>IF(ISERROR(VLOOKUP(C101,Cadastro!$D$3:$E$100,2,0)),"",(VLOOKUP(C101,Cadastro!$D$3:$E$100,2,0)))</f>
        <v/>
      </c>
      <c r="F101" s="1" t="str">
        <f>IF(ISERROR(LOOKUP(E101,Vendas!$B$3:$F$100)),"",(LOOKUP(E101,Vendas!$B$3:$F$100)))</f>
        <v/>
      </c>
      <c r="G101" s="1">
        <f>SUM(-(COUNTIFS(Entradas!$D$3:$D$100,25)),F101)</f>
        <v>0</v>
      </c>
      <c r="H101" s="19" t="str">
        <f>IF(ISERROR(LOOKUP(E101,Vendas!$B$3:$H$100)),"0",(LOOKUP(E101,Vendas!$B$3:$H$100)))</f>
        <v>0</v>
      </c>
      <c r="I101" s="19">
        <f t="shared" si="1"/>
        <v>0</v>
      </c>
      <c r="L101" s="1"/>
    </row>
    <row r="102" spans="2:12">
      <c r="B102" s="1"/>
      <c r="C102" s="1" t="str">
        <f>IF(ISERROR(LOOKUP(E102,Vendas!$B$3:$C$100)),"",(LOOKUP(E102,Vendas!$B$3:$C$100)))</f>
        <v/>
      </c>
      <c r="D102" s="1" t="str">
        <f>IF(ISERROR(VLOOKUP(C102,Cadastro!$D$3:$E$100,2,0)),"",(VLOOKUP(C102,Cadastro!$D$3:$E$100,2,0)))</f>
        <v/>
      </c>
      <c r="F102" s="1" t="str">
        <f>IF(ISERROR(LOOKUP(E102,Vendas!$B$3:$F$100)),"",(LOOKUP(E102,Vendas!$B$3:$F$100)))</f>
        <v/>
      </c>
      <c r="G102" s="1">
        <f>SUM(-(COUNTIFS(Entradas!$D$3:$D$100,25)),F102)</f>
        <v>0</v>
      </c>
      <c r="H102" s="19" t="str">
        <f>IF(ISERROR(LOOKUP(E102,Vendas!$B$3:$H$100)),"0",(LOOKUP(E102,Vendas!$B$3:$H$100)))</f>
        <v>0</v>
      </c>
      <c r="I102" s="19">
        <f t="shared" si="1"/>
        <v>0</v>
      </c>
      <c r="L102" s="1"/>
    </row>
    <row r="103" spans="2:12">
      <c r="B103" s="1"/>
      <c r="C103" s="1" t="str">
        <f>IF(ISERROR(LOOKUP(E103,Vendas!$B$3:$C$100)),"",(LOOKUP(E103,Vendas!$B$3:$C$100)))</f>
        <v/>
      </c>
      <c r="D103" s="1" t="str">
        <f>IF(ISERROR(VLOOKUP(C103,Cadastro!$D$3:$E$100,2,0)),"",(VLOOKUP(C103,Cadastro!$D$3:$E$100,2,0)))</f>
        <v/>
      </c>
      <c r="F103" s="1" t="str">
        <f>IF(ISERROR(LOOKUP(E103,Vendas!$B$3:$F$100)),"",(LOOKUP(E103,Vendas!$B$3:$F$100)))</f>
        <v/>
      </c>
      <c r="G103" s="1">
        <f>SUM(-(COUNTIFS(Entradas!$D$3:$D$100,25)),F103)</f>
        <v>0</v>
      </c>
      <c r="H103" s="19" t="str">
        <f>IF(ISERROR(LOOKUP(E103,Vendas!$B$3:$H$100)),"0",(LOOKUP(E103,Vendas!$B$3:$H$100)))</f>
        <v>0</v>
      </c>
      <c r="I103" s="19">
        <f t="shared" si="1"/>
        <v>0</v>
      </c>
      <c r="L103" s="1"/>
    </row>
    <row r="104" spans="2:12">
      <c r="B104" s="1"/>
      <c r="C104" s="1" t="str">
        <f>IF(ISERROR(LOOKUP(E104,Vendas!$B$3:$C$100)),"",(LOOKUP(E104,Vendas!$B$3:$C$100)))</f>
        <v/>
      </c>
      <c r="D104" s="1" t="str">
        <f>IF(ISERROR(VLOOKUP(C104,Cadastro!$D$3:$E$100,2,0)),"",(VLOOKUP(C104,Cadastro!$D$3:$E$100,2,0)))</f>
        <v/>
      </c>
      <c r="F104" s="1" t="str">
        <f>IF(ISERROR(LOOKUP(E104,Vendas!$B$3:$F$100)),"",(LOOKUP(E104,Vendas!$B$3:$F$100)))</f>
        <v/>
      </c>
      <c r="G104" s="1">
        <f>SUM(-(COUNTIFS(Entradas!$D$3:$D$100,25)),F104)</f>
        <v>0</v>
      </c>
      <c r="H104" s="19" t="str">
        <f>IF(ISERROR(LOOKUP(E104,Vendas!$B$3:$H$100)),"0",(LOOKUP(E104,Vendas!$B$3:$H$100)))</f>
        <v>0</v>
      </c>
      <c r="I104" s="19">
        <f t="shared" si="1"/>
        <v>0</v>
      </c>
      <c r="L104" s="1"/>
    </row>
    <row r="105" spans="2:12">
      <c r="B105" s="1"/>
      <c r="C105" s="1" t="str">
        <f>IF(ISERROR(LOOKUP(E105,Vendas!$B$3:$C$100)),"",(LOOKUP(E105,Vendas!$B$3:$C$100)))</f>
        <v/>
      </c>
      <c r="D105" s="1" t="str">
        <f>IF(ISERROR(VLOOKUP(C105,Cadastro!$D$3:$E$100,2,0)),"",(VLOOKUP(C105,Cadastro!$D$3:$E$100,2,0)))</f>
        <v/>
      </c>
      <c r="F105" s="1" t="str">
        <f>IF(ISERROR(LOOKUP(E105,Vendas!$B$3:$F$100)),"",(LOOKUP(E105,Vendas!$B$3:$F$100)))</f>
        <v/>
      </c>
      <c r="G105" s="1">
        <f>SUM(-(COUNTIFS(Entradas!$D$3:$D$100,25)),F105)</f>
        <v>0</v>
      </c>
      <c r="H105" s="19" t="str">
        <f>IF(ISERROR(LOOKUP(E105,Vendas!$B$3:$H$100)),"0",(LOOKUP(E105,Vendas!$B$3:$H$100)))</f>
        <v>0</v>
      </c>
      <c r="I105" s="19">
        <f t="shared" si="1"/>
        <v>0</v>
      </c>
      <c r="L105" s="1"/>
    </row>
    <row r="106" spans="2:12">
      <c r="B106" s="1"/>
      <c r="C106" s="1" t="str">
        <f>IF(ISERROR(LOOKUP(E106,Vendas!$B$3:$C$100)),"",(LOOKUP(E106,Vendas!$B$3:$C$100)))</f>
        <v/>
      </c>
      <c r="D106" s="1" t="str">
        <f>IF(ISERROR(VLOOKUP(C106,Cadastro!$D$3:$E$100,2,0)),"",(VLOOKUP(C106,Cadastro!$D$3:$E$100,2,0)))</f>
        <v/>
      </c>
      <c r="F106" s="1" t="str">
        <f>IF(ISERROR(LOOKUP(E106,Vendas!$B$3:$F$100)),"",(LOOKUP(E106,Vendas!$B$3:$F$100)))</f>
        <v/>
      </c>
      <c r="G106" s="1">
        <f>SUM(-(COUNTIFS(Entradas!$D$3:$D$100,25)),F106)</f>
        <v>0</v>
      </c>
      <c r="H106" s="19" t="str">
        <f>IF(ISERROR(LOOKUP(E106,Vendas!$B$3:$H$100)),"0",(LOOKUP(E106,Vendas!$B$3:$H$100)))</f>
        <v>0</v>
      </c>
      <c r="I106" s="19">
        <f t="shared" si="1"/>
        <v>0</v>
      </c>
      <c r="L106" s="1"/>
    </row>
    <row r="107" spans="2:12">
      <c r="B107" s="1"/>
      <c r="C107" s="1" t="str">
        <f>IF(ISERROR(LOOKUP(E107,Vendas!$B$3:$C$100)),"",(LOOKUP(E107,Vendas!$B$3:$C$100)))</f>
        <v/>
      </c>
      <c r="D107" s="1" t="str">
        <f>IF(ISERROR(VLOOKUP(C107,Cadastro!$D$3:$E$100,2,0)),"",(VLOOKUP(C107,Cadastro!$D$3:$E$100,2,0)))</f>
        <v/>
      </c>
      <c r="F107" s="1" t="str">
        <f>IF(ISERROR(LOOKUP(E107,Vendas!$B$3:$F$100)),"",(LOOKUP(E107,Vendas!$B$3:$F$100)))</f>
        <v/>
      </c>
      <c r="G107" s="1">
        <f>SUM(-(COUNTIFS(Entradas!$D$3:$D$100,25)),F107)</f>
        <v>0</v>
      </c>
      <c r="H107" s="19" t="str">
        <f>IF(ISERROR(LOOKUP(E107,Vendas!$B$3:$H$100)),"0",(LOOKUP(E107,Vendas!$B$3:$H$100)))</f>
        <v>0</v>
      </c>
      <c r="I107" s="19">
        <f t="shared" si="1"/>
        <v>0</v>
      </c>
      <c r="L107" s="1"/>
    </row>
    <row r="108" spans="2:12">
      <c r="B108" s="1"/>
      <c r="C108" s="1" t="str">
        <f>IF(ISERROR(LOOKUP(E108,Vendas!$B$3:$C$100)),"",(LOOKUP(E108,Vendas!$B$3:$C$100)))</f>
        <v/>
      </c>
      <c r="D108" s="1" t="str">
        <f>IF(ISERROR(VLOOKUP(C108,Cadastro!$D$3:$E$100,2,0)),"",(VLOOKUP(C108,Cadastro!$D$3:$E$100,2,0)))</f>
        <v/>
      </c>
      <c r="F108" s="1" t="str">
        <f>IF(ISERROR(LOOKUP(E108,Vendas!$B$3:$F$100)),"",(LOOKUP(E108,Vendas!$B$3:$F$100)))</f>
        <v/>
      </c>
      <c r="G108" s="1">
        <f>SUM(-(COUNTIFS(Entradas!$D$3:$D$100,25)),F108)</f>
        <v>0</v>
      </c>
      <c r="H108" s="19" t="str">
        <f>IF(ISERROR(LOOKUP(E108,Vendas!$B$3:$H$100)),"0",(LOOKUP(E108,Vendas!$B$3:$H$100)))</f>
        <v>0</v>
      </c>
      <c r="I108" s="19">
        <f t="shared" si="1"/>
        <v>0</v>
      </c>
      <c r="L108" s="1"/>
    </row>
    <row r="109" spans="2:12">
      <c r="B109" s="1"/>
      <c r="C109" s="1" t="str">
        <f>IF(ISERROR(LOOKUP(E109,Vendas!$B$3:$C$100)),"",(LOOKUP(E109,Vendas!$B$3:$C$100)))</f>
        <v/>
      </c>
      <c r="D109" s="1" t="str">
        <f>IF(ISERROR(VLOOKUP(C109,Cadastro!$D$3:$E$100,2,0)),"",(VLOOKUP(C109,Cadastro!$D$3:$E$100,2,0)))</f>
        <v/>
      </c>
      <c r="F109" s="1" t="str">
        <f>IF(ISERROR(LOOKUP(E109,Vendas!$B$3:$F$100)),"",(LOOKUP(E109,Vendas!$B$3:$F$100)))</f>
        <v/>
      </c>
      <c r="G109" s="1">
        <f>SUM(-(COUNTIFS(Entradas!$D$3:$D$100,25)),F109)</f>
        <v>0</v>
      </c>
      <c r="H109" s="19" t="str">
        <f>IF(ISERROR(LOOKUP(E109,Vendas!$B$3:$H$100)),"0",(LOOKUP(E109,Vendas!$B$3:$H$100)))</f>
        <v>0</v>
      </c>
      <c r="I109" s="19">
        <f t="shared" si="1"/>
        <v>0</v>
      </c>
      <c r="L109" s="1"/>
    </row>
    <row r="110" spans="2:12">
      <c r="B110" s="1"/>
      <c r="C110" s="1" t="str">
        <f>IF(ISERROR(LOOKUP(E110,Vendas!$B$3:$C$100)),"",(LOOKUP(E110,Vendas!$B$3:$C$100)))</f>
        <v/>
      </c>
      <c r="D110" s="1" t="str">
        <f>IF(ISERROR(VLOOKUP(C110,Cadastro!$D$3:$E$100,2,0)),"",(VLOOKUP(C110,Cadastro!$D$3:$E$100,2,0)))</f>
        <v/>
      </c>
      <c r="F110" s="1" t="str">
        <f>IF(ISERROR(LOOKUP(E110,Vendas!$B$3:$F$100)),"",(LOOKUP(E110,Vendas!$B$3:$F$100)))</f>
        <v/>
      </c>
      <c r="G110" s="1">
        <f>SUM(-(COUNTIFS(Entradas!$D$3:$D$100,25)),F110)</f>
        <v>0</v>
      </c>
      <c r="H110" s="19" t="str">
        <f>IF(ISERROR(LOOKUP(E110,Vendas!$B$3:$H$100)),"0",(LOOKUP(E110,Vendas!$B$3:$H$100)))</f>
        <v>0</v>
      </c>
      <c r="I110" s="19">
        <f t="shared" si="1"/>
        <v>0</v>
      </c>
      <c r="L110" s="1"/>
    </row>
    <row r="111" spans="2:12">
      <c r="B111" s="1"/>
      <c r="C111" s="1" t="str">
        <f>IF(ISERROR(LOOKUP(E111,Vendas!$B$3:$C$100)),"",(LOOKUP(E111,Vendas!$B$3:$C$100)))</f>
        <v/>
      </c>
      <c r="D111" s="1" t="str">
        <f>IF(ISERROR(VLOOKUP(C111,Cadastro!$D$3:$E$100,2,0)),"",(VLOOKUP(C111,Cadastro!$D$3:$E$100,2,0)))</f>
        <v/>
      </c>
      <c r="F111" s="1" t="str">
        <f>IF(ISERROR(LOOKUP(E111,Vendas!$B$3:$F$100)),"",(LOOKUP(E111,Vendas!$B$3:$F$100)))</f>
        <v/>
      </c>
      <c r="G111" s="1">
        <f>SUM(-(COUNTIFS(Entradas!$D$3:$D$100,25)),F111)</f>
        <v>0</v>
      </c>
      <c r="H111" s="19" t="str">
        <f>IF(ISERROR(LOOKUP(E111,Vendas!$B$3:$H$100)),"0",(LOOKUP(E111,Vendas!$B$3:$H$100)))</f>
        <v>0</v>
      </c>
      <c r="I111" s="19">
        <f t="shared" si="1"/>
        <v>0</v>
      </c>
      <c r="L111" s="1"/>
    </row>
    <row r="112" spans="2:12">
      <c r="B112" s="1"/>
      <c r="C112" s="1" t="str">
        <f>IF(ISERROR(LOOKUP(E112,Vendas!$B$3:$C$100)),"",(LOOKUP(E112,Vendas!$B$3:$C$100)))</f>
        <v/>
      </c>
      <c r="D112" s="1" t="str">
        <f>IF(ISERROR(VLOOKUP(C112,Cadastro!$D$3:$E$100,2,0)),"",(VLOOKUP(C112,Cadastro!$D$3:$E$100,2,0)))</f>
        <v/>
      </c>
      <c r="F112" s="1" t="str">
        <f>IF(ISERROR(LOOKUP(E112,Vendas!$B$3:$F$100)),"",(LOOKUP(E112,Vendas!$B$3:$F$100)))</f>
        <v/>
      </c>
      <c r="G112" s="1">
        <f>SUM(-(COUNTIFS(Entradas!$D$3:$D$100,25)),F112)</f>
        <v>0</v>
      </c>
      <c r="H112" s="19" t="str">
        <f>IF(ISERROR(LOOKUP(E112,Vendas!$B$3:$H$100)),"0",(LOOKUP(E112,Vendas!$B$3:$H$100)))</f>
        <v>0</v>
      </c>
      <c r="I112" s="19">
        <f t="shared" si="1"/>
        <v>0</v>
      </c>
      <c r="L112" s="1"/>
    </row>
    <row r="113" spans="2:12">
      <c r="B113" s="1"/>
      <c r="C113" s="1" t="str">
        <f>IF(ISERROR(LOOKUP(E113,Vendas!$B$3:$C$100)),"",(LOOKUP(E113,Vendas!$B$3:$C$100)))</f>
        <v/>
      </c>
      <c r="D113" s="1" t="str">
        <f>IF(ISERROR(VLOOKUP(C113,Cadastro!$D$3:$E$100,2,0)),"",(VLOOKUP(C113,Cadastro!$D$3:$E$100,2,0)))</f>
        <v/>
      </c>
      <c r="F113" s="1" t="str">
        <f>IF(ISERROR(LOOKUP(E113,Vendas!$B$3:$F$100)),"",(LOOKUP(E113,Vendas!$B$3:$F$100)))</f>
        <v/>
      </c>
      <c r="G113" s="1">
        <f>SUM(-(COUNTIFS(Entradas!$D$3:$D$100,25)),F113)</f>
        <v>0</v>
      </c>
      <c r="H113" s="19" t="str">
        <f>IF(ISERROR(LOOKUP(E113,Vendas!$B$3:$H$100)),"0",(LOOKUP(E113,Vendas!$B$3:$H$100)))</f>
        <v>0</v>
      </c>
      <c r="I113" s="19">
        <f t="shared" si="1"/>
        <v>0</v>
      </c>
      <c r="L113" s="1"/>
    </row>
    <row r="114" spans="2:12">
      <c r="B114" s="1"/>
      <c r="C114" s="1" t="str">
        <f>IF(ISERROR(LOOKUP(E114,Vendas!$B$3:$C$100)),"",(LOOKUP(E114,Vendas!$B$3:$C$100)))</f>
        <v/>
      </c>
      <c r="D114" s="1" t="str">
        <f>IF(ISERROR(VLOOKUP(C114,Cadastro!$D$3:$E$100,2,0)),"",(VLOOKUP(C114,Cadastro!$D$3:$E$100,2,0)))</f>
        <v/>
      </c>
      <c r="F114" s="1" t="str">
        <f>IF(ISERROR(LOOKUP(E114,Vendas!$B$3:$F$100)),"",(LOOKUP(E114,Vendas!$B$3:$F$100)))</f>
        <v/>
      </c>
      <c r="G114" s="1">
        <f>SUM(-(COUNTIFS(Entradas!$D$3:$D$100,25)),F114)</f>
        <v>0</v>
      </c>
      <c r="H114" s="19" t="str">
        <f>IF(ISERROR(LOOKUP(E114,Vendas!$B$3:$H$100)),"0",(LOOKUP(E114,Vendas!$B$3:$H$100)))</f>
        <v>0</v>
      </c>
      <c r="I114" s="19">
        <f t="shared" si="1"/>
        <v>0</v>
      </c>
      <c r="L114" s="1"/>
    </row>
    <row r="115" spans="2:12">
      <c r="B115" s="1"/>
      <c r="C115" s="1" t="str">
        <f>IF(ISERROR(LOOKUP(E115,Vendas!$B$3:$C$100)),"",(LOOKUP(E115,Vendas!$B$3:$C$100)))</f>
        <v/>
      </c>
      <c r="D115" s="1" t="str">
        <f>IF(ISERROR(VLOOKUP(C115,Cadastro!$D$3:$E$100,2,0)),"",(VLOOKUP(C115,Cadastro!$D$3:$E$100,2,0)))</f>
        <v/>
      </c>
      <c r="F115" s="1" t="str">
        <f>IF(ISERROR(LOOKUP(E115,Vendas!$B$3:$F$100)),"",(LOOKUP(E115,Vendas!$B$3:$F$100)))</f>
        <v/>
      </c>
      <c r="G115" s="1">
        <f>SUM(-(COUNTIFS(Entradas!$D$3:$D$100,25)),F115)</f>
        <v>0</v>
      </c>
      <c r="H115" s="19" t="str">
        <f>IF(ISERROR(LOOKUP(E115,Vendas!$B$3:$H$100)),"0",(LOOKUP(E115,Vendas!$B$3:$H$100)))</f>
        <v>0</v>
      </c>
      <c r="I115" s="19">
        <f t="shared" si="1"/>
        <v>0</v>
      </c>
      <c r="L115" s="1"/>
    </row>
    <row r="116" spans="2:12">
      <c r="B116" s="1"/>
      <c r="C116" s="1" t="str">
        <f>IF(ISERROR(LOOKUP(E116,Vendas!$B$3:$C$100)),"",(LOOKUP(E116,Vendas!$B$3:$C$100)))</f>
        <v/>
      </c>
      <c r="D116" s="1" t="str">
        <f>IF(ISERROR(VLOOKUP(C116,Cadastro!$D$3:$E$100,2,0)),"",(VLOOKUP(C116,Cadastro!$D$3:$E$100,2,0)))</f>
        <v/>
      </c>
      <c r="F116" s="1" t="str">
        <f>IF(ISERROR(LOOKUP(E116,Vendas!$B$3:$F$100)),"",(LOOKUP(E116,Vendas!$B$3:$F$100)))</f>
        <v/>
      </c>
      <c r="G116" s="1">
        <f>SUM(-(COUNTIFS(Entradas!$D$3:$D$100,25)),F116)</f>
        <v>0</v>
      </c>
      <c r="H116" s="19" t="str">
        <f>IF(ISERROR(LOOKUP(E116,Vendas!$B$3:$H$100)),"0",(LOOKUP(E116,Vendas!$B$3:$H$100)))</f>
        <v>0</v>
      </c>
      <c r="I116" s="19">
        <f t="shared" si="1"/>
        <v>0</v>
      </c>
      <c r="L116" s="1"/>
    </row>
    <row r="117" spans="2:12">
      <c r="B117" s="1"/>
      <c r="C117" s="1" t="str">
        <f>IF(ISERROR(LOOKUP(E117,Vendas!$B$3:$C$100)),"",(LOOKUP(E117,Vendas!$B$3:$C$100)))</f>
        <v/>
      </c>
      <c r="D117" s="1" t="str">
        <f>IF(ISERROR(VLOOKUP(C117,Cadastro!$D$3:$E$100,2,0)),"",(VLOOKUP(C117,Cadastro!$D$3:$E$100,2,0)))</f>
        <v/>
      </c>
      <c r="F117" s="1" t="str">
        <f>IF(ISERROR(LOOKUP(E117,Vendas!$B$3:$F$100)),"",(LOOKUP(E117,Vendas!$B$3:$F$100)))</f>
        <v/>
      </c>
      <c r="G117" s="1">
        <f>SUM(-(COUNTIFS(Entradas!$D$3:$D$100,25)),F117)</f>
        <v>0</v>
      </c>
      <c r="H117" s="19" t="str">
        <f>IF(ISERROR(LOOKUP(E117,Vendas!$B$3:$H$100)),"0",(LOOKUP(E117,Vendas!$B$3:$H$100)))</f>
        <v>0</v>
      </c>
      <c r="I117" s="19">
        <f t="shared" si="1"/>
        <v>0</v>
      </c>
      <c r="L117" s="1"/>
    </row>
    <row r="118" spans="2:12">
      <c r="B118" s="1"/>
      <c r="C118" s="1" t="str">
        <f>IF(ISERROR(LOOKUP(E118,Vendas!$B$3:$C$100)),"",(LOOKUP(E118,Vendas!$B$3:$C$100)))</f>
        <v/>
      </c>
      <c r="D118" s="1" t="str">
        <f>IF(ISERROR(VLOOKUP(C118,Cadastro!$D$3:$E$100,2,0)),"",(VLOOKUP(C118,Cadastro!$D$3:$E$100,2,0)))</f>
        <v/>
      </c>
      <c r="F118" s="1" t="str">
        <f>IF(ISERROR(LOOKUP(E118,Vendas!$B$3:$F$100)),"",(LOOKUP(E118,Vendas!$B$3:$F$100)))</f>
        <v/>
      </c>
      <c r="G118" s="1">
        <f>SUM(-(COUNTIFS(Entradas!$D$3:$D$100,25)),F118)</f>
        <v>0</v>
      </c>
      <c r="H118" s="19" t="str">
        <f>IF(ISERROR(LOOKUP(E118,Vendas!$B$3:$H$100)),"0",(LOOKUP(E118,Vendas!$B$3:$H$100)))</f>
        <v>0</v>
      </c>
      <c r="I118" s="19">
        <f t="shared" si="1"/>
        <v>0</v>
      </c>
      <c r="L118" s="1"/>
    </row>
    <row r="119" spans="2:12">
      <c r="B119" s="1"/>
      <c r="C119" s="1" t="str">
        <f>IF(ISERROR(LOOKUP(E119,Vendas!$B$3:$C$100)),"",(LOOKUP(E119,Vendas!$B$3:$C$100)))</f>
        <v/>
      </c>
      <c r="D119" s="1" t="str">
        <f>IF(ISERROR(VLOOKUP(C119,Cadastro!$D$3:$E$100,2,0)),"",(VLOOKUP(C119,Cadastro!$D$3:$E$100,2,0)))</f>
        <v/>
      </c>
      <c r="F119" s="1" t="str">
        <f>IF(ISERROR(LOOKUP(E119,Vendas!$B$3:$F$100)),"",(LOOKUP(E119,Vendas!$B$3:$F$100)))</f>
        <v/>
      </c>
      <c r="G119" s="1">
        <f>SUM(-(COUNTIFS(Entradas!$D$3:$D$100,25)),F119)</f>
        <v>0</v>
      </c>
      <c r="H119" s="19" t="str">
        <f>IF(ISERROR(LOOKUP(E119,Vendas!$B$3:$H$100)),"0",(LOOKUP(E119,Vendas!$B$3:$H$100)))</f>
        <v>0</v>
      </c>
      <c r="I119" s="19">
        <f t="shared" si="1"/>
        <v>0</v>
      </c>
      <c r="L119" s="1"/>
    </row>
    <row r="120" spans="2:12">
      <c r="B120" s="1"/>
      <c r="C120" s="1" t="str">
        <f>IF(ISERROR(LOOKUP(E120,Vendas!$B$3:$C$100)),"",(LOOKUP(E120,Vendas!$B$3:$C$100)))</f>
        <v/>
      </c>
      <c r="D120" s="1" t="str">
        <f>IF(ISERROR(VLOOKUP(C120,Cadastro!$D$3:$E$100,2,0)),"",(VLOOKUP(C120,Cadastro!$D$3:$E$100,2,0)))</f>
        <v/>
      </c>
      <c r="F120" s="1" t="str">
        <f>IF(ISERROR(LOOKUP(E120,Vendas!$B$3:$F$100)),"",(LOOKUP(E120,Vendas!$B$3:$F$100)))</f>
        <v/>
      </c>
      <c r="G120" s="1">
        <f>SUM(-(COUNTIFS(Entradas!$D$3:$D$100,25)),F120)</f>
        <v>0</v>
      </c>
      <c r="H120" s="19" t="str">
        <f>IF(ISERROR(LOOKUP(E120,Vendas!$B$3:$H$100)),"0",(LOOKUP(E120,Vendas!$B$3:$H$100)))</f>
        <v>0</v>
      </c>
      <c r="I120" s="19">
        <f t="shared" si="1"/>
        <v>0</v>
      </c>
      <c r="L120" s="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G3:G9 G11:G27 I3 F3:F32 G28:G30 G31:G120 F33:F12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Cadastro</vt:lpstr>
      <vt:lpstr>Vendas</vt:lpstr>
      <vt:lpstr>Entradas</vt:lpstr>
      <vt:lpstr>Minhas Entradas e Saidas</vt:lpstr>
      <vt:lpstr>Dados Mês a Mês</vt:lpstr>
      <vt:lpstr>Orçamento Mês</vt:lpstr>
      <vt:lpstr>Parcelas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Collection</dc:creator>
  <cp:lastModifiedBy>Decio Gassi</cp:lastModifiedBy>
  <dcterms:created xsi:type="dcterms:W3CDTF">2019-03-11T11:09:38Z</dcterms:created>
  <dcterms:modified xsi:type="dcterms:W3CDTF">2019-03-16T13:43:34Z</dcterms:modified>
</cp:coreProperties>
</file>