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dd199367dc4a3d/KENNEDY/Faculdade KENNEDY/Planilhas Kennedy/"/>
    </mc:Choice>
  </mc:AlternateContent>
  <xr:revisionPtr revIDLastSave="0" documentId="8_{BDC48152-6F9E-4AE3-9829-D0E6571EB669}" xr6:coauthVersionLast="45" xr6:coauthVersionMax="45" xr10:uidLastSave="{00000000-0000-0000-0000-000000000000}"/>
  <bookViews>
    <workbookView xWindow="-120" yWindow="-120" windowWidth="20730" windowHeight="11160" tabRatio="808" activeTab="1" xr2:uid="{B13BDC0A-41EF-44C8-8BB5-D0A41DB8CF3B}"/>
  </bookViews>
  <sheets>
    <sheet name="Biapoiada 1" sheetId="1" r:id="rId1"/>
    <sheet name="Biapoiada 2" sheetId="2" r:id="rId2"/>
    <sheet name="Biapoiada 3" sheetId="3" r:id="rId3"/>
    <sheet name="Engastada 1" sheetId="4" state="hidden" r:id="rId4"/>
    <sheet name="Engastada 2" sheetId="5" state="hidden" r:id="rId5"/>
    <sheet name="Engastada 3" sheetId="6" state="hidden" r:id="rId6"/>
    <sheet name="Ap.-Eng. 1" sheetId="7" state="hidden" r:id="rId7"/>
    <sheet name="Ap.-Eng. 2" sheetId="8" state="hidden" r:id="rId8"/>
    <sheet name="Ap.-Eng. 3" sheetId="9" state="hidden" r:id="rId9"/>
    <sheet name="Contínua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9" i="2" l="1"/>
  <c r="K34" i="2"/>
  <c r="L34" i="2" s="1"/>
  <c r="S35" i="2" s="1"/>
  <c r="K33" i="2"/>
  <c r="L33" i="2" s="1"/>
  <c r="S34" i="2" s="1"/>
  <c r="K32" i="2"/>
  <c r="L32" i="2" s="1"/>
  <c r="S33" i="2" s="1"/>
  <c r="K31" i="2"/>
  <c r="L31" i="2" s="1"/>
  <c r="S32" i="2" s="1"/>
  <c r="K30" i="2"/>
  <c r="L30" i="2" s="1"/>
  <c r="S31" i="2" s="1"/>
  <c r="K29" i="2"/>
  <c r="L29" i="2" s="1"/>
  <c r="S30" i="2" s="1"/>
  <c r="K28" i="2"/>
  <c r="L28" i="2" s="1"/>
  <c r="R25" i="3"/>
  <c r="R24" i="3"/>
  <c r="R23" i="3"/>
  <c r="R22" i="3"/>
  <c r="K36" i="2" l="1"/>
  <c r="K35" i="2"/>
  <c r="Q46" i="3"/>
  <c r="P46" i="3"/>
  <c r="F72" i="3" l="1"/>
  <c r="F71" i="3"/>
  <c r="D28" i="2"/>
  <c r="F68" i="3"/>
  <c r="H68" i="3" s="1"/>
  <c r="F49" i="3"/>
  <c r="F51" i="3" s="1"/>
  <c r="F40" i="3"/>
  <c r="T58" i="2"/>
  <c r="T60" i="2"/>
  <c r="T61" i="2"/>
  <c r="T62" i="2"/>
  <c r="T63" i="2"/>
  <c r="T64" i="2"/>
  <c r="T65" i="2"/>
  <c r="T59" i="2"/>
  <c r="Y23" i="3"/>
  <c r="Y24" i="3"/>
  <c r="Y25" i="3"/>
  <c r="Y26" i="3"/>
  <c r="Y27" i="3"/>
  <c r="Y28" i="3"/>
  <c r="Y29" i="3"/>
  <c r="Y30" i="3"/>
  <c r="Y31" i="3"/>
  <c r="Y32" i="3"/>
  <c r="Y22" i="3"/>
  <c r="W23" i="3"/>
  <c r="W22" i="3"/>
  <c r="AA23" i="3" s="1"/>
  <c r="Z24" i="3" l="1"/>
  <c r="Z28" i="3"/>
  <c r="Z32" i="3"/>
  <c r="AA30" i="3"/>
  <c r="AA26" i="3"/>
  <c r="Z25" i="3"/>
  <c r="AA22" i="3"/>
  <c r="AA29" i="3"/>
  <c r="AA25" i="3"/>
  <c r="Z22" i="3"/>
  <c r="Z26" i="3"/>
  <c r="Z30" i="3"/>
  <c r="AA32" i="3"/>
  <c r="AA28" i="3"/>
  <c r="AA24" i="3"/>
  <c r="Z29" i="3"/>
  <c r="Z23" i="3"/>
  <c r="Z27" i="3"/>
  <c r="Z31" i="3"/>
  <c r="AA31" i="3"/>
  <c r="AA27" i="3"/>
  <c r="F26" i="3"/>
  <c r="E26" i="3"/>
  <c r="F24" i="3"/>
  <c r="E24" i="3"/>
  <c r="E12" i="3"/>
  <c r="D36" i="2"/>
  <c r="G18" i="3"/>
  <c r="G20" i="3"/>
  <c r="G19" i="3"/>
  <c r="E15" i="3"/>
  <c r="E14" i="3"/>
  <c r="E13" i="3"/>
  <c r="E33" i="3"/>
  <c r="E30" i="3"/>
  <c r="H40" i="3" s="1"/>
  <c r="P47" i="3" l="1"/>
  <c r="P48" i="3" s="1"/>
  <c r="R28" i="3" s="1"/>
  <c r="W38" i="3" s="1"/>
  <c r="Q47" i="3"/>
  <c r="Q48" i="3" s="1"/>
  <c r="R29" i="3" s="1"/>
  <c r="Q20" i="3"/>
  <c r="R30" i="3" s="1"/>
  <c r="Q35" i="3" l="1"/>
  <c r="Q37" i="3" s="1"/>
  <c r="F55" i="3"/>
  <c r="F58" i="3"/>
  <c r="Q40" i="3"/>
  <c r="Q39" i="3"/>
  <c r="H55" i="3" l="1"/>
  <c r="F61" i="3"/>
  <c r="Q42" i="3"/>
  <c r="F37" i="3"/>
  <c r="F41" i="3"/>
  <c r="R26" i="3" l="1"/>
  <c r="P29" i="2" s="1"/>
  <c r="R27" i="3"/>
  <c r="F64" i="3"/>
  <c r="F65" i="3"/>
  <c r="F50" i="3"/>
  <c r="F45" i="3"/>
  <c r="F46" i="3" s="1"/>
  <c r="W36" i="3" l="1"/>
  <c r="W37" i="3" s="1"/>
  <c r="W39" i="3"/>
</calcChain>
</file>

<file path=xl/sharedStrings.xml><?xml version="1.0" encoding="utf-8"?>
<sst xmlns="http://schemas.openxmlformats.org/spreadsheetml/2006/main" count="193" uniqueCount="141">
  <si>
    <t>Planilha de dimensioamento de vigas desenvolvida pelo Eng. Kennedy Marques e Eng. Alcides Junio</t>
  </si>
  <si>
    <t>Nomenclaturas utilizadas nas vigas biapoiadas</t>
  </si>
  <si>
    <t>Dados</t>
  </si>
  <si>
    <t>h:</t>
  </si>
  <si>
    <t>b:</t>
  </si>
  <si>
    <t>L:</t>
  </si>
  <si>
    <t>cm</t>
  </si>
  <si>
    <t>m</t>
  </si>
  <si>
    <t>Memorial de cálculo</t>
  </si>
  <si>
    <t>Coeficientes de majoração e minoração</t>
  </si>
  <si>
    <t>P.P. :</t>
  </si>
  <si>
    <t>Sobrecarga:</t>
  </si>
  <si>
    <t>Md:</t>
  </si>
  <si>
    <t>Carga linear sobre a viga (kN/m)</t>
  </si>
  <si>
    <t>Q:</t>
  </si>
  <si>
    <t>Vsd:</t>
  </si>
  <si>
    <t>kN</t>
  </si>
  <si>
    <t>kN/m</t>
  </si>
  <si>
    <t>kN*m</t>
  </si>
  <si>
    <t>Informações</t>
  </si>
  <si>
    <t>Cobrimento:</t>
  </si>
  <si>
    <t>d:</t>
  </si>
  <si>
    <t>cobrimento:</t>
  </si>
  <si>
    <r>
      <rPr>
        <sz val="14"/>
        <color theme="1"/>
        <rFont val="Calibri"/>
        <family val="2"/>
        <scheme val="minor"/>
      </rPr>
      <t>Ø</t>
    </r>
    <r>
      <rPr>
        <sz val="8"/>
        <color theme="1"/>
        <rFont val="Calibri"/>
        <family val="2"/>
        <scheme val="minor"/>
      </rPr>
      <t>longitudinal</t>
    </r>
    <r>
      <rPr>
        <sz val="11"/>
        <color theme="1"/>
        <rFont val="Calibri"/>
        <family val="2"/>
        <scheme val="minor"/>
      </rPr>
      <t>:</t>
    </r>
  </si>
  <si>
    <t>Tabela de armaduras</t>
  </si>
  <si>
    <t>Ø</t>
  </si>
  <si>
    <t>P (kg/m)</t>
  </si>
  <si>
    <r>
      <rPr>
        <sz val="14"/>
        <color theme="1"/>
        <rFont val="Calibri"/>
        <family val="2"/>
        <scheme val="minor"/>
      </rPr>
      <t>Ø</t>
    </r>
    <r>
      <rPr>
        <sz val="8"/>
        <color theme="1"/>
        <rFont val="Calibri"/>
        <family val="2"/>
        <scheme val="minor"/>
      </rPr>
      <t>transversal</t>
    </r>
    <r>
      <rPr>
        <sz val="11"/>
        <color theme="1"/>
        <rFont val="Calibri"/>
        <family val="2"/>
        <scheme val="minor"/>
      </rPr>
      <t>:</t>
    </r>
  </si>
  <si>
    <t>mm</t>
  </si>
  <si>
    <t>1) Dados da seção da viga</t>
  </si>
  <si>
    <t>2) Materiais</t>
  </si>
  <si>
    <t>Materiais</t>
  </si>
  <si>
    <t>Fck:</t>
  </si>
  <si>
    <t>Concreto:</t>
  </si>
  <si>
    <t>Armadura longitudinal:</t>
  </si>
  <si>
    <t>Armadura transversal:</t>
  </si>
  <si>
    <t>MPa</t>
  </si>
  <si>
    <t>Agregado:</t>
  </si>
  <si>
    <t>Tabela de agregados</t>
  </si>
  <si>
    <t>Arenito</t>
  </si>
  <si>
    <t>Dimensões agregado</t>
  </si>
  <si>
    <t>brita 0</t>
  </si>
  <si>
    <t>brita 2</t>
  </si>
  <si>
    <t>brita 3</t>
  </si>
  <si>
    <t>brita 4</t>
  </si>
  <si>
    <t>brita 1</t>
  </si>
  <si>
    <t>Nome</t>
  </si>
  <si>
    <t>dimensões máximas</t>
  </si>
  <si>
    <t>Calcário</t>
  </si>
  <si>
    <t>Granito e gnaisse</t>
  </si>
  <si>
    <t>Basalto e diabásio</t>
  </si>
  <si>
    <t>Tipo de agregado:</t>
  </si>
  <si>
    <t>Diâmetro máximo:</t>
  </si>
  <si>
    <t>3) Verificações normativas construtivas</t>
  </si>
  <si>
    <t>3.1) Dimensões mínimas</t>
  </si>
  <si>
    <t>%</t>
  </si>
  <si>
    <t>Item 13.2.2: Dimensão mínima de 100 mm</t>
  </si>
  <si>
    <t>3.2) Diâmetro dos estribos</t>
  </si>
  <si>
    <t>Item 18.3.3.2: Diâmetro mínimo do estribo é de 5 mm</t>
  </si>
  <si>
    <t>4.1) Momento Fletor Máximo</t>
  </si>
  <si>
    <t>4.2) Esforço cortante Máximo</t>
  </si>
  <si>
    <t>Diagramas</t>
  </si>
  <si>
    <t xml:space="preserve">Reações de apoio </t>
  </si>
  <si>
    <t>RA</t>
  </si>
  <si>
    <t>RB</t>
  </si>
  <si>
    <t>% apoio</t>
  </si>
  <si>
    <t>x</t>
  </si>
  <si>
    <t>Cortante</t>
  </si>
  <si>
    <t>Linha neutra</t>
  </si>
  <si>
    <t>DMF</t>
  </si>
  <si>
    <t>4) Verificação do ELU</t>
  </si>
  <si>
    <t>z</t>
  </si>
  <si>
    <t>domínio 2</t>
  </si>
  <si>
    <t>domínio 3</t>
  </si>
  <si>
    <t>limite domínio 1</t>
  </si>
  <si>
    <t>As:</t>
  </si>
  <si>
    <t>cm²</t>
  </si>
  <si>
    <t>DOMÍNIO</t>
  </si>
  <si>
    <r>
      <t>W</t>
    </r>
    <r>
      <rPr>
        <sz val="8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</t>
    </r>
  </si>
  <si>
    <r>
      <t>A</t>
    </r>
    <r>
      <rPr>
        <sz val="8"/>
        <color theme="1"/>
        <rFont val="Calibri"/>
        <family val="2"/>
        <scheme val="minor"/>
      </rPr>
      <t>s,wo</t>
    </r>
    <r>
      <rPr>
        <sz val="11"/>
        <color theme="1"/>
        <rFont val="Calibri"/>
        <family val="2"/>
        <scheme val="minor"/>
      </rPr>
      <t>:</t>
    </r>
  </si>
  <si>
    <r>
      <rPr>
        <sz val="14"/>
        <color theme="1"/>
        <rFont val="Calibri"/>
        <family val="2"/>
        <scheme val="minor"/>
      </rPr>
      <t>ρ</t>
    </r>
    <r>
      <rPr>
        <sz val="9"/>
        <color theme="1"/>
        <rFont val="Calibri"/>
        <family val="2"/>
        <scheme val="minor"/>
      </rPr>
      <t>min:</t>
    </r>
  </si>
  <si>
    <r>
      <rPr>
        <sz val="14"/>
        <color theme="1"/>
        <rFont val="Calibri"/>
        <family val="2"/>
        <scheme val="minor"/>
      </rPr>
      <t>ρ</t>
    </r>
    <r>
      <rPr>
        <sz val="8"/>
        <color theme="1"/>
        <rFont val="Calibri"/>
        <family val="2"/>
        <scheme val="minor"/>
      </rPr>
      <t>calc:</t>
    </r>
  </si>
  <si>
    <r>
      <rPr>
        <sz val="14"/>
        <color theme="1"/>
        <rFont val="Calibri"/>
        <family val="2"/>
        <scheme val="minor"/>
      </rPr>
      <t>ρ</t>
    </r>
    <r>
      <rPr>
        <sz val="8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&gt;</t>
    </r>
    <r>
      <rPr>
        <sz val="14"/>
        <color theme="1"/>
        <rFont val="Calibri"/>
        <family val="2"/>
        <scheme val="minor"/>
      </rPr>
      <t>ρ</t>
    </r>
    <r>
      <rPr>
        <sz val="8"/>
        <color theme="1"/>
        <rFont val="Calibri"/>
        <family val="2"/>
        <scheme val="minor"/>
      </rPr>
      <t>calc</t>
    </r>
    <r>
      <rPr>
        <sz val="11"/>
        <color theme="1"/>
        <rFont val="Calibri"/>
        <family val="2"/>
        <scheme val="minor"/>
      </rPr>
      <t>:</t>
    </r>
  </si>
  <si>
    <t>4.3.3) Área de aço máxima</t>
  </si>
  <si>
    <r>
      <t>A</t>
    </r>
    <r>
      <rPr>
        <sz val="8"/>
        <color theme="1"/>
        <rFont val="Calibri"/>
        <family val="2"/>
        <scheme val="minor"/>
      </rPr>
      <t>s,max</t>
    </r>
    <r>
      <rPr>
        <sz val="11"/>
        <color theme="1"/>
        <rFont val="Calibri"/>
        <family val="2"/>
        <scheme val="minor"/>
      </rPr>
      <t>:</t>
    </r>
  </si>
  <si>
    <r>
      <t>A</t>
    </r>
    <r>
      <rPr>
        <sz val="8"/>
        <color theme="1"/>
        <rFont val="Calibri"/>
        <family val="2"/>
        <scheme val="minor"/>
      </rPr>
      <t>s,calc</t>
    </r>
    <r>
      <rPr>
        <sz val="11"/>
        <color theme="1"/>
        <rFont val="Calibri"/>
        <family val="2"/>
        <scheme val="minor"/>
      </rPr>
      <t>:</t>
    </r>
  </si>
  <si>
    <r>
      <t>A</t>
    </r>
    <r>
      <rPr>
        <sz val="8"/>
        <color theme="1"/>
        <rFont val="Calibri"/>
        <family val="2"/>
        <scheme val="minor"/>
      </rPr>
      <t xml:space="preserve">s,calc </t>
    </r>
    <r>
      <rPr>
        <sz val="11"/>
        <color theme="1"/>
        <rFont val="Calibri"/>
        <family val="2"/>
        <scheme val="minor"/>
      </rPr>
      <t>&lt; A</t>
    </r>
    <r>
      <rPr>
        <sz val="8"/>
        <color theme="1"/>
        <rFont val="Calibri"/>
        <family val="2"/>
        <scheme val="minor"/>
      </rPr>
      <t>s,max</t>
    </r>
    <r>
      <rPr>
        <sz val="11"/>
        <color theme="1"/>
        <rFont val="Calibri"/>
        <family val="2"/>
        <scheme val="minor"/>
      </rPr>
      <t>:</t>
    </r>
  </si>
  <si>
    <t>4.3) Momento fletor - Dimensionamento</t>
  </si>
  <si>
    <t>4.3.1) Área de aço</t>
  </si>
  <si>
    <t>4.3.2) Momento mínimo</t>
  </si>
  <si>
    <t>4.3.3) Área de aço mínima</t>
  </si>
  <si>
    <t>4.4.1) Verificação da compressão das bielas</t>
  </si>
  <si>
    <r>
      <t>V</t>
    </r>
    <r>
      <rPr>
        <sz val="8"/>
        <color theme="1"/>
        <rFont val="Calibri"/>
        <family val="2"/>
        <scheme val="minor"/>
      </rPr>
      <t>rd2, I</t>
    </r>
    <r>
      <rPr>
        <sz val="11"/>
        <color theme="1"/>
        <rFont val="Calibri"/>
        <family val="2"/>
        <scheme val="minor"/>
      </rPr>
      <t>:</t>
    </r>
  </si>
  <si>
    <t>4.4.2) Parcela do concreto</t>
  </si>
  <si>
    <t>4.4) Esforço cortante - Dimensionamento</t>
  </si>
  <si>
    <r>
      <t>V</t>
    </r>
    <r>
      <rPr>
        <sz val="8"/>
        <color theme="1"/>
        <rFont val="Calibri"/>
        <family val="2"/>
        <scheme val="minor"/>
      </rPr>
      <t>c0</t>
    </r>
    <r>
      <rPr>
        <sz val="11"/>
        <color theme="1"/>
        <rFont val="Calibri"/>
        <family val="2"/>
        <scheme val="minor"/>
      </rPr>
      <t>:</t>
    </r>
  </si>
  <si>
    <t>4.4.3) Parcela do aço</t>
  </si>
  <si>
    <r>
      <t>V</t>
    </r>
    <r>
      <rPr>
        <sz val="8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>:</t>
    </r>
  </si>
  <si>
    <t>4.4.4) Taxa de aço e espaçamento</t>
  </si>
  <si>
    <r>
      <t>A</t>
    </r>
    <r>
      <rPr>
        <sz val="8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>/s:</t>
    </r>
  </si>
  <si>
    <t xml:space="preserve"> cm²/m</t>
  </si>
  <si>
    <t>s:</t>
  </si>
  <si>
    <t>4.4.5) Diâmetro máximo</t>
  </si>
  <si>
    <r>
      <t>Ø</t>
    </r>
    <r>
      <rPr>
        <sz val="8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:</t>
    </r>
  </si>
  <si>
    <t>5) Verificação a fissuração</t>
  </si>
  <si>
    <t>Classe de agressividade</t>
  </si>
  <si>
    <t>CAA I</t>
  </si>
  <si>
    <t>CAA II</t>
  </si>
  <si>
    <t>CAA III</t>
  </si>
  <si>
    <t>CAA IV</t>
  </si>
  <si>
    <t>Classe de agressividade ambiental:</t>
  </si>
  <si>
    <t>wk (fissuração)</t>
  </si>
  <si>
    <r>
      <t>wk</t>
    </r>
    <r>
      <rPr>
        <sz val="8"/>
        <color theme="1"/>
        <rFont val="Calibri"/>
        <family val="2"/>
        <scheme val="minor"/>
      </rPr>
      <t>, max</t>
    </r>
    <r>
      <rPr>
        <sz val="11"/>
        <color theme="1"/>
        <rFont val="Calibri"/>
        <family val="2"/>
        <scheme val="minor"/>
      </rPr>
      <t>:</t>
    </r>
  </si>
  <si>
    <t>wk:</t>
  </si>
  <si>
    <t>Cabe?</t>
  </si>
  <si>
    <t>Ah</t>
  </si>
  <si>
    <t>av</t>
  </si>
  <si>
    <t>ah</t>
  </si>
  <si>
    <t>Largura necessária</t>
  </si>
  <si>
    <t>Qtdd de barra que cabe na camada</t>
  </si>
  <si>
    <t>qtdd de camada</t>
  </si>
  <si>
    <t>Sub mostra_ferramentas()
Application.DisplayFullScreen = False
Application.DisplayFormulaBar = True
ActiveWindow.DisplayWorkbookTabs = True
End Sub</t>
  </si>
  <si>
    <t>TESTES</t>
  </si>
  <si>
    <t>b</t>
  </si>
  <si>
    <t>h</t>
  </si>
  <si>
    <t>n</t>
  </si>
  <si>
    <t>ØL</t>
  </si>
  <si>
    <t>ØE</t>
  </si>
  <si>
    <t>Qtdd</t>
  </si>
  <si>
    <t>Dinicial</t>
  </si>
  <si>
    <t>Dfinal</t>
  </si>
  <si>
    <t>Combinações:</t>
  </si>
  <si>
    <t>As</t>
  </si>
  <si>
    <t>Maior:</t>
  </si>
  <si>
    <t>Menor:</t>
  </si>
  <si>
    <t>Resultado check box</t>
  </si>
  <si>
    <t>bitola</t>
  </si>
  <si>
    <t>área</t>
  </si>
  <si>
    <t>AQUI</t>
  </si>
  <si>
    <t>qtdd</t>
  </si>
  <si>
    <t>Lista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</si>
</sst>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0D4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right"/>
    </xf>
    <xf numFmtId="0" fontId="0" fillId="3" borderId="0" xfId="0" applyFill="1" applyBorder="1"/>
    <xf numFmtId="0" fontId="0" fillId="3" borderId="1" xfId="0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 applyAlignment="1">
      <alignment horizontal="right"/>
    </xf>
    <xf numFmtId="2" fontId="0" fillId="3" borderId="0" xfId="0" applyNumberFormat="1" applyFill="1" applyBorder="1"/>
    <xf numFmtId="2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2" fontId="0" fillId="3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165" fontId="0" fillId="0" borderId="0" xfId="0" applyNumberFormat="1"/>
    <xf numFmtId="0" fontId="0" fillId="3" borderId="5" xfId="0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Font="1"/>
    <xf numFmtId="0" fontId="0" fillId="4" borderId="1" xfId="0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center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164" fontId="0" fillId="2" borderId="0" xfId="0" applyNumberFormat="1" applyFill="1" applyBorder="1"/>
    <xf numFmtId="2" fontId="0" fillId="2" borderId="0" xfId="0" applyNumberFormat="1" applyFill="1" applyBorder="1"/>
    <xf numFmtId="2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right"/>
    </xf>
    <xf numFmtId="0" fontId="0" fillId="3" borderId="0" xfId="0" quotePrefix="1" applyFill="1" applyBorder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6" borderId="1" xfId="0" applyFill="1" applyBorder="1"/>
    <xf numFmtId="0" fontId="0" fillId="0" borderId="0" xfId="0" applyAlignment="1">
      <alignment wrapText="1"/>
    </xf>
    <xf numFmtId="2" fontId="0" fillId="2" borderId="1" xfId="0" applyNumberFormat="1" applyFill="1" applyBorder="1"/>
    <xf numFmtId="2" fontId="0" fillId="7" borderId="1" xfId="0" applyNumberFormat="1" applyFill="1" applyBorder="1"/>
    <xf numFmtId="0" fontId="0" fillId="8" borderId="1" xfId="0" applyFill="1" applyBorder="1" applyAlignment="1">
      <alignment horizontal="center" vertical="center"/>
    </xf>
    <xf numFmtId="2" fontId="0" fillId="9" borderId="1" xfId="0" applyNumberFormat="1" applyFill="1" applyBorder="1"/>
    <xf numFmtId="0" fontId="0" fillId="9" borderId="0" xfId="0" applyFill="1" applyBorder="1"/>
    <xf numFmtId="0" fontId="0" fillId="9" borderId="1" xfId="0" applyFill="1" applyBorder="1"/>
    <xf numFmtId="0" fontId="0" fillId="9" borderId="0" xfId="0" applyFill="1"/>
    <xf numFmtId="0" fontId="0" fillId="9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8" fillId="9" borderId="1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C0D3A"/>
      <color rgb="FF0C0D41"/>
      <color rgb="FF0C0D4A"/>
      <color rgb="FF0407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J$28" lockText="1" noThreeD="1"/>
</file>

<file path=xl/ctrlProps/ctrlProp2.xml><?xml version="1.0" encoding="utf-8"?>
<formControlPr xmlns="http://schemas.microsoft.com/office/spreadsheetml/2009/9/main" objectType="CheckBox" fmlaLink="$J$29" lockText="1" noThreeD="1"/>
</file>

<file path=xl/ctrlProps/ctrlProp3.xml><?xml version="1.0" encoding="utf-8"?>
<formControlPr xmlns="http://schemas.microsoft.com/office/spreadsheetml/2009/9/main" objectType="CheckBox" checked="Checked" fmlaLink="$J$30" lockText="1" noThreeD="1"/>
</file>

<file path=xl/ctrlProps/ctrlProp4.xml><?xml version="1.0" encoding="utf-8"?>
<formControlPr xmlns="http://schemas.microsoft.com/office/spreadsheetml/2009/9/main" objectType="CheckBox" checked="Checked" fmlaLink="$J$31" lockText="1" noThreeD="1"/>
</file>

<file path=xl/ctrlProps/ctrlProp5.xml><?xml version="1.0" encoding="utf-8"?>
<formControlPr xmlns="http://schemas.microsoft.com/office/spreadsheetml/2009/9/main" objectType="CheckBox" checked="Checked" fmlaLink="$J$32" lockText="1" noThreeD="1"/>
</file>

<file path=xl/ctrlProps/ctrlProp6.xml><?xml version="1.0" encoding="utf-8"?>
<formControlPr xmlns="http://schemas.microsoft.com/office/spreadsheetml/2009/9/main" objectType="CheckBox" fmlaLink="$J$33" lockText="1" noThreeD="1"/>
</file>

<file path=xl/ctrlProps/ctrlProp7.xml><?xml version="1.0" encoding="utf-8"?>
<formControlPr xmlns="http://schemas.microsoft.com/office/spreadsheetml/2009/9/main" objectType="CheckBox" fmlaLink="$J$34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13" Type="http://schemas.openxmlformats.org/officeDocument/2006/relationships/image" Target="../media/image7.svg"/><Relationship Id="rId3" Type="http://schemas.openxmlformats.org/officeDocument/2006/relationships/hyperlink" Target="#'Engastada 1'!A1"/><Relationship Id="rId7" Type="http://schemas.openxmlformats.org/officeDocument/2006/relationships/image" Target="../media/image2.png"/><Relationship Id="rId12" Type="http://schemas.openxmlformats.org/officeDocument/2006/relationships/image" Target="../media/image6.png"/><Relationship Id="rId17" Type="http://schemas.openxmlformats.org/officeDocument/2006/relationships/image" Target="../media/image11.gif"/><Relationship Id="rId2" Type="http://schemas.openxmlformats.org/officeDocument/2006/relationships/hyperlink" Target="#'Biapoiada 1'!A1"/><Relationship Id="rId16" Type="http://schemas.openxmlformats.org/officeDocument/2006/relationships/image" Target="../media/image10.png"/><Relationship Id="rId1" Type="http://schemas.openxmlformats.org/officeDocument/2006/relationships/image" Target="../media/image1.jpeg"/><Relationship Id="rId6" Type="http://schemas.openxmlformats.org/officeDocument/2006/relationships/hyperlink" Target="#'Biapoiada 3'!A1"/><Relationship Id="rId11" Type="http://schemas.openxmlformats.org/officeDocument/2006/relationships/hyperlink" Target="#'Biapoiada 2'!A1"/><Relationship Id="rId5" Type="http://schemas.openxmlformats.org/officeDocument/2006/relationships/hyperlink" Target="#Cont&#237;nua!A1"/><Relationship Id="rId15" Type="http://schemas.openxmlformats.org/officeDocument/2006/relationships/image" Target="../media/image9.svg"/><Relationship Id="rId10" Type="http://schemas.openxmlformats.org/officeDocument/2006/relationships/image" Target="../media/image5.svg"/><Relationship Id="rId4" Type="http://schemas.openxmlformats.org/officeDocument/2006/relationships/hyperlink" Target="#'Ap.-Eng. 1'!A1"/><Relationship Id="rId9" Type="http://schemas.openxmlformats.org/officeDocument/2006/relationships/image" Target="../media/image4.png"/><Relationship Id="rId14" Type="http://schemas.openxmlformats.org/officeDocument/2006/relationships/image" Target="../media/image8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17.svg"/><Relationship Id="rId3" Type="http://schemas.openxmlformats.org/officeDocument/2006/relationships/hyperlink" Target="#'Engastada 1'!A1"/><Relationship Id="rId7" Type="http://schemas.openxmlformats.org/officeDocument/2006/relationships/image" Target="../media/image19.svg"/><Relationship Id="rId12" Type="http://schemas.openxmlformats.org/officeDocument/2006/relationships/image" Target="../media/image8.png"/><Relationship Id="rId2" Type="http://schemas.openxmlformats.org/officeDocument/2006/relationships/hyperlink" Target="#'Biapoiada 1'!A1"/><Relationship Id="rId1" Type="http://schemas.openxmlformats.org/officeDocument/2006/relationships/image" Target="../media/image1.jpeg"/><Relationship Id="rId6" Type="http://schemas.openxmlformats.org/officeDocument/2006/relationships/image" Target="../media/image18.png"/><Relationship Id="rId11" Type="http://schemas.openxmlformats.org/officeDocument/2006/relationships/image" Target="../media/image21.svg"/><Relationship Id="rId5" Type="http://schemas.openxmlformats.org/officeDocument/2006/relationships/hyperlink" Target="#Cont&#237;nua!A1"/><Relationship Id="rId10" Type="http://schemas.openxmlformats.org/officeDocument/2006/relationships/image" Target="../media/image6.png"/><Relationship Id="rId4" Type="http://schemas.openxmlformats.org/officeDocument/2006/relationships/hyperlink" Target="#'Ap.-Eng. 1'!A1"/><Relationship Id="rId9" Type="http://schemas.openxmlformats.org/officeDocument/2006/relationships/image" Target="../media/image20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svg"/><Relationship Id="rId13" Type="http://schemas.openxmlformats.org/officeDocument/2006/relationships/image" Target="../media/image16.svg"/><Relationship Id="rId3" Type="http://schemas.openxmlformats.org/officeDocument/2006/relationships/hyperlink" Target="#'Engastada 1'!A1"/><Relationship Id="rId7" Type="http://schemas.openxmlformats.org/officeDocument/2006/relationships/image" Target="../media/image2.png"/><Relationship Id="rId12" Type="http://schemas.openxmlformats.org/officeDocument/2006/relationships/image" Target="../media/image15.png"/><Relationship Id="rId2" Type="http://schemas.openxmlformats.org/officeDocument/2006/relationships/hyperlink" Target="#'Biapoiada 1'!A1"/><Relationship Id="rId1" Type="http://schemas.openxmlformats.org/officeDocument/2006/relationships/image" Target="../media/image1.jpeg"/><Relationship Id="rId6" Type="http://schemas.openxmlformats.org/officeDocument/2006/relationships/hyperlink" Target="#'Biapoiada 3'!A1"/><Relationship Id="rId11" Type="http://schemas.openxmlformats.org/officeDocument/2006/relationships/hyperlink" Target="#'Biapoiada 2'!A1"/><Relationship Id="rId5" Type="http://schemas.openxmlformats.org/officeDocument/2006/relationships/hyperlink" Target="#Cont&#237;nua!A1"/><Relationship Id="rId15" Type="http://schemas.openxmlformats.org/officeDocument/2006/relationships/image" Target="../media/image17.svg"/><Relationship Id="rId10" Type="http://schemas.openxmlformats.org/officeDocument/2006/relationships/image" Target="../media/image14.svg"/><Relationship Id="rId4" Type="http://schemas.openxmlformats.org/officeDocument/2006/relationships/hyperlink" Target="#'Ap.-Eng. 1'!A1"/><Relationship Id="rId9" Type="http://schemas.openxmlformats.org/officeDocument/2006/relationships/image" Target="../media/image13.png"/><Relationship Id="rId1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svg"/><Relationship Id="rId13" Type="http://schemas.openxmlformats.org/officeDocument/2006/relationships/image" Target="../media/image21.svg"/><Relationship Id="rId3" Type="http://schemas.openxmlformats.org/officeDocument/2006/relationships/hyperlink" Target="#'Engastada 1'!A1"/><Relationship Id="rId7" Type="http://schemas.openxmlformats.org/officeDocument/2006/relationships/image" Target="../media/image18.png"/><Relationship Id="rId12" Type="http://schemas.openxmlformats.org/officeDocument/2006/relationships/image" Target="../media/image6.png"/><Relationship Id="rId2" Type="http://schemas.openxmlformats.org/officeDocument/2006/relationships/hyperlink" Target="#'Biapoiada 1'!A1"/><Relationship Id="rId1" Type="http://schemas.openxmlformats.org/officeDocument/2006/relationships/image" Target="../media/image1.jpeg"/><Relationship Id="rId6" Type="http://schemas.openxmlformats.org/officeDocument/2006/relationships/hyperlink" Target="#'Biapoiada 3'!A1"/><Relationship Id="rId11" Type="http://schemas.openxmlformats.org/officeDocument/2006/relationships/hyperlink" Target="#'Biapoiada 2'!A1"/><Relationship Id="rId5" Type="http://schemas.openxmlformats.org/officeDocument/2006/relationships/hyperlink" Target="#Cont&#237;nua!A1"/><Relationship Id="rId15" Type="http://schemas.openxmlformats.org/officeDocument/2006/relationships/image" Target="../media/image17.svg"/><Relationship Id="rId10" Type="http://schemas.openxmlformats.org/officeDocument/2006/relationships/image" Target="../media/image20.svg"/><Relationship Id="rId4" Type="http://schemas.openxmlformats.org/officeDocument/2006/relationships/hyperlink" Target="#'Ap.-Eng. 1'!A1"/><Relationship Id="rId9" Type="http://schemas.openxmlformats.org/officeDocument/2006/relationships/image" Target="../media/image13.png"/><Relationship Id="rId1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Engastada 1'!A1"/><Relationship Id="rId13" Type="http://schemas.openxmlformats.org/officeDocument/2006/relationships/image" Target="../media/image21.svg"/><Relationship Id="rId3" Type="http://schemas.openxmlformats.org/officeDocument/2006/relationships/hyperlink" Target="#'Ap.-Eng. 1'!A1"/><Relationship Id="rId7" Type="http://schemas.openxmlformats.org/officeDocument/2006/relationships/image" Target="../media/image12.svg"/><Relationship Id="rId12" Type="http://schemas.openxmlformats.org/officeDocument/2006/relationships/image" Target="../media/image6.png"/><Relationship Id="rId2" Type="http://schemas.openxmlformats.org/officeDocument/2006/relationships/hyperlink" Target="#'Biapoiada 1'!A1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11" Type="http://schemas.openxmlformats.org/officeDocument/2006/relationships/hyperlink" Target="#'Engastada 2'!A1"/><Relationship Id="rId5" Type="http://schemas.openxmlformats.org/officeDocument/2006/relationships/hyperlink" Target="#'Engastada 3'!A1"/><Relationship Id="rId15" Type="http://schemas.openxmlformats.org/officeDocument/2006/relationships/image" Target="../media/image17.svg"/><Relationship Id="rId10" Type="http://schemas.openxmlformats.org/officeDocument/2006/relationships/image" Target="../media/image22.svg"/><Relationship Id="rId4" Type="http://schemas.openxmlformats.org/officeDocument/2006/relationships/hyperlink" Target="#Cont&#237;nua!A1"/><Relationship Id="rId9" Type="http://schemas.openxmlformats.org/officeDocument/2006/relationships/image" Target="../media/image4.png"/><Relationship Id="rId1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svg"/><Relationship Id="rId13" Type="http://schemas.openxmlformats.org/officeDocument/2006/relationships/image" Target="../media/image16.svg"/><Relationship Id="rId3" Type="http://schemas.openxmlformats.org/officeDocument/2006/relationships/hyperlink" Target="#'Engastada 1'!A1"/><Relationship Id="rId7" Type="http://schemas.openxmlformats.org/officeDocument/2006/relationships/image" Target="../media/image2.png"/><Relationship Id="rId12" Type="http://schemas.openxmlformats.org/officeDocument/2006/relationships/image" Target="../media/image15.png"/><Relationship Id="rId2" Type="http://schemas.openxmlformats.org/officeDocument/2006/relationships/hyperlink" Target="#'Biapoiada 1'!A1"/><Relationship Id="rId1" Type="http://schemas.openxmlformats.org/officeDocument/2006/relationships/image" Target="../media/image1.jpeg"/><Relationship Id="rId6" Type="http://schemas.openxmlformats.org/officeDocument/2006/relationships/hyperlink" Target="#'Engastada 3'!A1"/><Relationship Id="rId11" Type="http://schemas.openxmlformats.org/officeDocument/2006/relationships/hyperlink" Target="#'Engastada 2'!A1"/><Relationship Id="rId5" Type="http://schemas.openxmlformats.org/officeDocument/2006/relationships/hyperlink" Target="#Cont&#237;nua!A1"/><Relationship Id="rId15" Type="http://schemas.openxmlformats.org/officeDocument/2006/relationships/image" Target="../media/image17.svg"/><Relationship Id="rId10" Type="http://schemas.openxmlformats.org/officeDocument/2006/relationships/image" Target="../media/image20.svg"/><Relationship Id="rId4" Type="http://schemas.openxmlformats.org/officeDocument/2006/relationships/hyperlink" Target="#'Ap.-Eng. 1'!A1"/><Relationship Id="rId9" Type="http://schemas.openxmlformats.org/officeDocument/2006/relationships/image" Target="../media/image13.png"/><Relationship Id="rId1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svg"/><Relationship Id="rId13" Type="http://schemas.openxmlformats.org/officeDocument/2006/relationships/image" Target="../media/image21.svg"/><Relationship Id="rId3" Type="http://schemas.openxmlformats.org/officeDocument/2006/relationships/hyperlink" Target="#'Engastada 1'!A1"/><Relationship Id="rId7" Type="http://schemas.openxmlformats.org/officeDocument/2006/relationships/image" Target="../media/image18.png"/><Relationship Id="rId12" Type="http://schemas.openxmlformats.org/officeDocument/2006/relationships/image" Target="../media/image6.png"/><Relationship Id="rId2" Type="http://schemas.openxmlformats.org/officeDocument/2006/relationships/hyperlink" Target="#'Biapoiada 1'!A1"/><Relationship Id="rId1" Type="http://schemas.openxmlformats.org/officeDocument/2006/relationships/image" Target="../media/image1.jpeg"/><Relationship Id="rId6" Type="http://schemas.openxmlformats.org/officeDocument/2006/relationships/hyperlink" Target="#'Engastada 3'!A1"/><Relationship Id="rId11" Type="http://schemas.openxmlformats.org/officeDocument/2006/relationships/hyperlink" Target="#'Engastada 2'!A1"/><Relationship Id="rId5" Type="http://schemas.openxmlformats.org/officeDocument/2006/relationships/hyperlink" Target="#Cont&#237;nua!A1"/><Relationship Id="rId15" Type="http://schemas.openxmlformats.org/officeDocument/2006/relationships/image" Target="../media/image17.svg"/><Relationship Id="rId10" Type="http://schemas.openxmlformats.org/officeDocument/2006/relationships/image" Target="../media/image20.svg"/><Relationship Id="rId4" Type="http://schemas.openxmlformats.org/officeDocument/2006/relationships/hyperlink" Target="#'Ap.-Eng. 1'!A1"/><Relationship Id="rId9" Type="http://schemas.openxmlformats.org/officeDocument/2006/relationships/image" Target="../media/image13.png"/><Relationship Id="rId14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svg"/><Relationship Id="rId13" Type="http://schemas.openxmlformats.org/officeDocument/2006/relationships/image" Target="../media/image21.svg"/><Relationship Id="rId3" Type="http://schemas.openxmlformats.org/officeDocument/2006/relationships/hyperlink" Target="#'Engastada 1'!A1"/><Relationship Id="rId7" Type="http://schemas.openxmlformats.org/officeDocument/2006/relationships/image" Target="../media/image2.png"/><Relationship Id="rId12" Type="http://schemas.openxmlformats.org/officeDocument/2006/relationships/image" Target="../media/image6.png"/><Relationship Id="rId2" Type="http://schemas.openxmlformats.org/officeDocument/2006/relationships/hyperlink" Target="#'Biapoiada 1'!A1"/><Relationship Id="rId1" Type="http://schemas.openxmlformats.org/officeDocument/2006/relationships/image" Target="../media/image1.jpeg"/><Relationship Id="rId6" Type="http://schemas.openxmlformats.org/officeDocument/2006/relationships/hyperlink" Target="#'Ap.-Eng. 3'!A1"/><Relationship Id="rId11" Type="http://schemas.openxmlformats.org/officeDocument/2006/relationships/hyperlink" Target="#'Ap.-Eng. 2'!A1"/><Relationship Id="rId5" Type="http://schemas.openxmlformats.org/officeDocument/2006/relationships/hyperlink" Target="#Cont&#237;nua!A1"/><Relationship Id="rId15" Type="http://schemas.openxmlformats.org/officeDocument/2006/relationships/image" Target="../media/image17.svg"/><Relationship Id="rId10" Type="http://schemas.openxmlformats.org/officeDocument/2006/relationships/image" Target="../media/image22.svg"/><Relationship Id="rId4" Type="http://schemas.openxmlformats.org/officeDocument/2006/relationships/hyperlink" Target="#'Ap.-Eng. 1'!A1"/><Relationship Id="rId9" Type="http://schemas.openxmlformats.org/officeDocument/2006/relationships/image" Target="../media/image4.png"/><Relationship Id="rId1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svg"/><Relationship Id="rId13" Type="http://schemas.openxmlformats.org/officeDocument/2006/relationships/image" Target="../media/image16.svg"/><Relationship Id="rId3" Type="http://schemas.openxmlformats.org/officeDocument/2006/relationships/hyperlink" Target="#'Engastada 1'!A1"/><Relationship Id="rId7" Type="http://schemas.openxmlformats.org/officeDocument/2006/relationships/image" Target="../media/image2.png"/><Relationship Id="rId12" Type="http://schemas.openxmlformats.org/officeDocument/2006/relationships/image" Target="../media/image15.png"/><Relationship Id="rId2" Type="http://schemas.openxmlformats.org/officeDocument/2006/relationships/hyperlink" Target="#'Biapoiada 1'!A1"/><Relationship Id="rId1" Type="http://schemas.openxmlformats.org/officeDocument/2006/relationships/image" Target="../media/image1.jpeg"/><Relationship Id="rId6" Type="http://schemas.openxmlformats.org/officeDocument/2006/relationships/hyperlink" Target="#'Ap.-Eng. 3'!A1"/><Relationship Id="rId11" Type="http://schemas.openxmlformats.org/officeDocument/2006/relationships/hyperlink" Target="#'Ap.-Eng. 2'!A1"/><Relationship Id="rId5" Type="http://schemas.openxmlformats.org/officeDocument/2006/relationships/hyperlink" Target="#Cont&#237;nua!A1"/><Relationship Id="rId15" Type="http://schemas.openxmlformats.org/officeDocument/2006/relationships/image" Target="../media/image17.svg"/><Relationship Id="rId10" Type="http://schemas.openxmlformats.org/officeDocument/2006/relationships/image" Target="../media/image20.svg"/><Relationship Id="rId4" Type="http://schemas.openxmlformats.org/officeDocument/2006/relationships/hyperlink" Target="#'Ap.-Eng. 1'!A1"/><Relationship Id="rId9" Type="http://schemas.openxmlformats.org/officeDocument/2006/relationships/image" Target="../media/image13.png"/><Relationship Id="rId14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svg"/><Relationship Id="rId13" Type="http://schemas.openxmlformats.org/officeDocument/2006/relationships/image" Target="../media/image21.svg"/><Relationship Id="rId3" Type="http://schemas.openxmlformats.org/officeDocument/2006/relationships/hyperlink" Target="#'Engastada 1'!A1"/><Relationship Id="rId7" Type="http://schemas.openxmlformats.org/officeDocument/2006/relationships/image" Target="../media/image18.png"/><Relationship Id="rId12" Type="http://schemas.openxmlformats.org/officeDocument/2006/relationships/image" Target="../media/image6.png"/><Relationship Id="rId2" Type="http://schemas.openxmlformats.org/officeDocument/2006/relationships/hyperlink" Target="#'Biapoiada 1'!A1"/><Relationship Id="rId1" Type="http://schemas.openxmlformats.org/officeDocument/2006/relationships/image" Target="../media/image1.jpeg"/><Relationship Id="rId6" Type="http://schemas.openxmlformats.org/officeDocument/2006/relationships/hyperlink" Target="#'Ap.-Eng. 3'!A1"/><Relationship Id="rId11" Type="http://schemas.openxmlformats.org/officeDocument/2006/relationships/hyperlink" Target="#'Ap.-Eng. 2'!A1"/><Relationship Id="rId5" Type="http://schemas.openxmlformats.org/officeDocument/2006/relationships/hyperlink" Target="#Cont&#237;nua!A1"/><Relationship Id="rId15" Type="http://schemas.openxmlformats.org/officeDocument/2006/relationships/image" Target="../media/image17.svg"/><Relationship Id="rId10" Type="http://schemas.openxmlformats.org/officeDocument/2006/relationships/image" Target="../media/image20.svg"/><Relationship Id="rId4" Type="http://schemas.openxmlformats.org/officeDocument/2006/relationships/hyperlink" Target="#'Ap.-Eng. 1'!A1"/><Relationship Id="rId9" Type="http://schemas.openxmlformats.org/officeDocument/2006/relationships/image" Target="../media/image13.png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485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5</xdr:col>
      <xdr:colOff>331200</xdr:colOff>
      <xdr:row>3</xdr:row>
      <xdr:rowOff>112350</xdr:rowOff>
    </xdr:to>
    <xdr:sp macro="" textlink="">
      <xdr:nvSpPr>
        <xdr:cNvPr id="6" name="Retângul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19200" y="495300"/>
          <a:ext cx="2160000" cy="3600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biapoiadas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331200</xdr:colOff>
      <xdr:row>3</xdr:row>
      <xdr:rowOff>112350</xdr:rowOff>
    </xdr:to>
    <xdr:sp macro="" textlink="">
      <xdr:nvSpPr>
        <xdr:cNvPr id="7" name="Retângul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6576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engastadas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331200</xdr:colOff>
      <xdr:row>3</xdr:row>
      <xdr:rowOff>112350</xdr:rowOff>
    </xdr:to>
    <xdr:sp macro="" textlink="">
      <xdr:nvSpPr>
        <xdr:cNvPr id="8" name="Retâ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960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apoiada-engastada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331200</xdr:colOff>
      <xdr:row>3</xdr:row>
      <xdr:rowOff>112350</xdr:rowOff>
    </xdr:to>
    <xdr:sp macro="" textlink="">
      <xdr:nvSpPr>
        <xdr:cNvPr id="9" name="Retângulo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344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contínuas</a:t>
          </a: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360000</xdr:colOff>
      <xdr:row>5</xdr:row>
      <xdr:rowOff>112350</xdr:rowOff>
    </xdr:to>
    <xdr:pic>
      <xdr:nvPicPr>
        <xdr:cNvPr id="15" name="Gráfico 14" descr="Livro aber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576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582975</xdr:colOff>
      <xdr:row>4</xdr:row>
      <xdr:rowOff>0</xdr:rowOff>
    </xdr:from>
    <xdr:to>
      <xdr:col>2</xdr:col>
      <xdr:colOff>333375</xdr:colOff>
      <xdr:row>5</xdr:row>
      <xdr:rowOff>112350</xdr:rowOff>
    </xdr:to>
    <xdr:pic>
      <xdr:nvPicPr>
        <xdr:cNvPr id="18" name="Gráfico 17" descr="Calculador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192575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360000</xdr:colOff>
      <xdr:row>5</xdr:row>
      <xdr:rowOff>112350</xdr:rowOff>
    </xdr:to>
    <xdr:pic>
      <xdr:nvPicPr>
        <xdr:cNvPr id="19" name="Gráfico 18" descr="Engrenagem únic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4384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278175</xdr:colOff>
      <xdr:row>4</xdr:row>
      <xdr:rowOff>0</xdr:rowOff>
    </xdr:from>
    <xdr:to>
      <xdr:col>17</xdr:col>
      <xdr:colOff>28575</xdr:colOff>
      <xdr:row>5</xdr:row>
      <xdr:rowOff>112350</xdr:rowOff>
    </xdr:to>
    <xdr:pic macro="[0]!mostra_ferramentas">
      <xdr:nvPicPr>
        <xdr:cNvPr id="21" name="Gráfico 20" descr="Fech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0031775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</xdr:row>
      <xdr:rowOff>19049</xdr:rowOff>
    </xdr:from>
    <xdr:to>
      <xdr:col>18</xdr:col>
      <xdr:colOff>545197</xdr:colOff>
      <xdr:row>13</xdr:row>
      <xdr:rowOff>220799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2000249"/>
          <a:ext cx="2983597" cy="144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609599</xdr:colOff>
      <xdr:row>14</xdr:row>
      <xdr:rowOff>0</xdr:rowOff>
    </xdr:from>
    <xdr:to>
      <xdr:col>17</xdr:col>
      <xdr:colOff>120769</xdr:colOff>
      <xdr:row>22</xdr:row>
      <xdr:rowOff>178800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399" y="3467100"/>
          <a:ext cx="1949570" cy="216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485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5</xdr:col>
      <xdr:colOff>331200</xdr:colOff>
      <xdr:row>3</xdr:row>
      <xdr:rowOff>112350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192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biapoiadas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331200</xdr:colOff>
      <xdr:row>3</xdr:row>
      <xdr:rowOff>112350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36576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engastadas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331200</xdr:colOff>
      <xdr:row>3</xdr:row>
      <xdr:rowOff>112350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6096000" y="495300"/>
          <a:ext cx="2160000" cy="3600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apoiada-engastada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331200</xdr:colOff>
      <xdr:row>3</xdr:row>
      <xdr:rowOff>112350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85344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contínuas</a:t>
          </a: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360000</xdr:colOff>
      <xdr:row>5</xdr:row>
      <xdr:rowOff>112350</xdr:rowOff>
    </xdr:to>
    <xdr:pic>
      <xdr:nvPicPr>
        <xdr:cNvPr id="7" name="Gráfico 6" descr="Livro abert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576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582975</xdr:colOff>
      <xdr:row>4</xdr:row>
      <xdr:rowOff>0</xdr:rowOff>
    </xdr:from>
    <xdr:to>
      <xdr:col>2</xdr:col>
      <xdr:colOff>333375</xdr:colOff>
      <xdr:row>5</xdr:row>
      <xdr:rowOff>112350</xdr:rowOff>
    </xdr:to>
    <xdr:pic>
      <xdr:nvPicPr>
        <xdr:cNvPr id="8" name="Gráfico 7" descr="Calculadora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192575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360000</xdr:colOff>
      <xdr:row>5</xdr:row>
      <xdr:rowOff>112350</xdr:rowOff>
    </xdr:to>
    <xdr:pic>
      <xdr:nvPicPr>
        <xdr:cNvPr id="9" name="Gráfico 8" descr="Engrenagem única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4384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278175</xdr:colOff>
      <xdr:row>4</xdr:row>
      <xdr:rowOff>0</xdr:rowOff>
    </xdr:from>
    <xdr:to>
      <xdr:col>17</xdr:col>
      <xdr:colOff>28575</xdr:colOff>
      <xdr:row>5</xdr:row>
      <xdr:rowOff>112350</xdr:rowOff>
    </xdr:to>
    <xdr:pic>
      <xdr:nvPicPr>
        <xdr:cNvPr id="10" name="Gráfico 9" descr="Fechar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0031775" y="990600"/>
          <a:ext cx="360000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485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5</xdr:col>
      <xdr:colOff>331200</xdr:colOff>
      <xdr:row>3</xdr:row>
      <xdr:rowOff>112350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19200" y="495300"/>
          <a:ext cx="2160000" cy="3600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biapoiadas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331200</xdr:colOff>
      <xdr:row>3</xdr:row>
      <xdr:rowOff>112350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576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engastadas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331200</xdr:colOff>
      <xdr:row>3</xdr:row>
      <xdr:rowOff>112350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0960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apoiada-engastada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331200</xdr:colOff>
      <xdr:row>3</xdr:row>
      <xdr:rowOff>112350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5344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contínuas</a:t>
          </a: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360000</xdr:colOff>
      <xdr:row>5</xdr:row>
      <xdr:rowOff>112350</xdr:rowOff>
    </xdr:to>
    <xdr:pic>
      <xdr:nvPicPr>
        <xdr:cNvPr id="7" name="Gráfico 6" descr="Livro aber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576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360000</xdr:colOff>
      <xdr:row>5</xdr:row>
      <xdr:rowOff>112350</xdr:rowOff>
    </xdr:to>
    <xdr:pic>
      <xdr:nvPicPr>
        <xdr:cNvPr id="8" name="Gráfico 7" descr="Calculador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192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360000</xdr:colOff>
      <xdr:row>5</xdr:row>
      <xdr:rowOff>112350</xdr:rowOff>
    </xdr:to>
    <xdr:pic>
      <xdr:nvPicPr>
        <xdr:cNvPr id="9" name="Gráfico 8" descr="Engrenagem únic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4384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278175</xdr:colOff>
      <xdr:row>4</xdr:row>
      <xdr:rowOff>0</xdr:rowOff>
    </xdr:from>
    <xdr:to>
      <xdr:col>17</xdr:col>
      <xdr:colOff>28575</xdr:colOff>
      <xdr:row>5</xdr:row>
      <xdr:rowOff>112350</xdr:rowOff>
    </xdr:to>
    <xdr:pic>
      <xdr:nvPicPr>
        <xdr:cNvPr id="10" name="Gráfico 9" descr="Fechar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0031775" y="990600"/>
          <a:ext cx="360000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57150</xdr:rowOff>
        </xdr:from>
        <xdr:to>
          <xdr:col>8</xdr:col>
          <xdr:colOff>485775</xdr:colOff>
          <xdr:row>28</xdr:row>
          <xdr:rowOff>47625</xdr:rowOff>
        </xdr:to>
        <xdr:sp macro="" textlink="">
          <xdr:nvSpPr>
            <xdr:cNvPr id="2055" name="Check Box 7" descr="5,0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5,0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104775</xdr:rowOff>
        </xdr:from>
        <xdr:to>
          <xdr:col>8</xdr:col>
          <xdr:colOff>485775</xdr:colOff>
          <xdr:row>29</xdr:row>
          <xdr:rowOff>95250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6,3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133350</xdr:rowOff>
        </xdr:from>
        <xdr:to>
          <xdr:col>8</xdr:col>
          <xdr:colOff>485775</xdr:colOff>
          <xdr:row>30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8,0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133350</xdr:rowOff>
        </xdr:from>
        <xdr:to>
          <xdr:col>8</xdr:col>
          <xdr:colOff>485775</xdr:colOff>
          <xdr:row>31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10,0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152400</xdr:rowOff>
        </xdr:from>
        <xdr:to>
          <xdr:col>8</xdr:col>
          <xdr:colOff>485775</xdr:colOff>
          <xdr:row>32</xdr:row>
          <xdr:rowOff>142875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12,5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32</xdr:row>
          <xdr:rowOff>161925</xdr:rowOff>
        </xdr:from>
        <xdr:to>
          <xdr:col>8</xdr:col>
          <xdr:colOff>504825</xdr:colOff>
          <xdr:row>33</xdr:row>
          <xdr:rowOff>152400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16,0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33</xdr:row>
          <xdr:rowOff>142875</xdr:rowOff>
        </xdr:from>
        <xdr:to>
          <xdr:col>8</xdr:col>
          <xdr:colOff>495300</xdr:colOff>
          <xdr:row>34</xdr:row>
          <xdr:rowOff>133350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20,0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485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5</xdr:col>
      <xdr:colOff>331200</xdr:colOff>
      <xdr:row>3</xdr:row>
      <xdr:rowOff>112350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19200" y="495300"/>
          <a:ext cx="2160000" cy="3600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biapoiadas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331200</xdr:colOff>
      <xdr:row>3</xdr:row>
      <xdr:rowOff>112350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6576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engastadas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331200</xdr:colOff>
      <xdr:row>3</xdr:row>
      <xdr:rowOff>112350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0960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apoiada-engastada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331200</xdr:colOff>
      <xdr:row>3</xdr:row>
      <xdr:rowOff>112350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5344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contínuas</a:t>
          </a: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360000</xdr:colOff>
      <xdr:row>5</xdr:row>
      <xdr:rowOff>112350</xdr:rowOff>
    </xdr:to>
    <xdr:pic>
      <xdr:nvPicPr>
        <xdr:cNvPr id="7" name="Gráfico 6" descr="Livro aber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576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582975</xdr:colOff>
      <xdr:row>4</xdr:row>
      <xdr:rowOff>0</xdr:rowOff>
    </xdr:from>
    <xdr:to>
      <xdr:col>2</xdr:col>
      <xdr:colOff>333375</xdr:colOff>
      <xdr:row>5</xdr:row>
      <xdr:rowOff>112350</xdr:rowOff>
    </xdr:to>
    <xdr:pic>
      <xdr:nvPicPr>
        <xdr:cNvPr id="8" name="Gráfico 7" descr="Calculador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192575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360000</xdr:colOff>
      <xdr:row>5</xdr:row>
      <xdr:rowOff>112350</xdr:rowOff>
    </xdr:to>
    <xdr:pic>
      <xdr:nvPicPr>
        <xdr:cNvPr id="9" name="Gráfico 8" descr="Engrenagem únic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4384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278175</xdr:colOff>
      <xdr:row>4</xdr:row>
      <xdr:rowOff>0</xdr:rowOff>
    </xdr:from>
    <xdr:to>
      <xdr:col>17</xdr:col>
      <xdr:colOff>28575</xdr:colOff>
      <xdr:row>5</xdr:row>
      <xdr:rowOff>112350</xdr:rowOff>
    </xdr:to>
    <xdr:pic>
      <xdr:nvPicPr>
        <xdr:cNvPr id="10" name="Gráfico 9" descr="Fechar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0031775" y="990600"/>
          <a:ext cx="360000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485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5</xdr:col>
      <xdr:colOff>331200</xdr:colOff>
      <xdr:row>3</xdr:row>
      <xdr:rowOff>112350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192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biapoiadas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331200</xdr:colOff>
      <xdr:row>3</xdr:row>
      <xdr:rowOff>112350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657600" y="495300"/>
          <a:ext cx="2160000" cy="3600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engastadas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331200</xdr:colOff>
      <xdr:row>3</xdr:row>
      <xdr:rowOff>112350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0960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apoiada-engastada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331200</xdr:colOff>
      <xdr:row>3</xdr:row>
      <xdr:rowOff>112350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5344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contínuas</a:t>
          </a: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360000</xdr:colOff>
      <xdr:row>5</xdr:row>
      <xdr:rowOff>112350</xdr:rowOff>
    </xdr:to>
    <xdr:pic>
      <xdr:nvPicPr>
        <xdr:cNvPr id="7" name="Gráfico 6" descr="Livro abert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576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582975</xdr:colOff>
      <xdr:row>4</xdr:row>
      <xdr:rowOff>0</xdr:rowOff>
    </xdr:from>
    <xdr:to>
      <xdr:col>2</xdr:col>
      <xdr:colOff>333375</xdr:colOff>
      <xdr:row>5</xdr:row>
      <xdr:rowOff>112350</xdr:rowOff>
    </xdr:to>
    <xdr:pic>
      <xdr:nvPicPr>
        <xdr:cNvPr id="8" name="Gráfico 7" descr="Calculador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192575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360000</xdr:colOff>
      <xdr:row>5</xdr:row>
      <xdr:rowOff>112350</xdr:rowOff>
    </xdr:to>
    <xdr:pic>
      <xdr:nvPicPr>
        <xdr:cNvPr id="9" name="Gráfico 8" descr="Engrenagem únic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4384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278175</xdr:colOff>
      <xdr:row>4</xdr:row>
      <xdr:rowOff>0</xdr:rowOff>
    </xdr:from>
    <xdr:to>
      <xdr:col>17</xdr:col>
      <xdr:colOff>28575</xdr:colOff>
      <xdr:row>5</xdr:row>
      <xdr:rowOff>112350</xdr:rowOff>
    </xdr:to>
    <xdr:pic>
      <xdr:nvPicPr>
        <xdr:cNvPr id="10" name="Gráfico 9" descr="Fechar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0031775" y="990600"/>
          <a:ext cx="360000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485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5</xdr:col>
      <xdr:colOff>331200</xdr:colOff>
      <xdr:row>3</xdr:row>
      <xdr:rowOff>112350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192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biapoiadas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331200</xdr:colOff>
      <xdr:row>3</xdr:row>
      <xdr:rowOff>112350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657600" y="495300"/>
          <a:ext cx="2160000" cy="3600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engastadas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331200</xdr:colOff>
      <xdr:row>3</xdr:row>
      <xdr:rowOff>112350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0960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apoiada-engastada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331200</xdr:colOff>
      <xdr:row>3</xdr:row>
      <xdr:rowOff>112350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5344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contínuas</a:t>
          </a: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360000</xdr:colOff>
      <xdr:row>5</xdr:row>
      <xdr:rowOff>112350</xdr:rowOff>
    </xdr:to>
    <xdr:pic>
      <xdr:nvPicPr>
        <xdr:cNvPr id="7" name="Gráfico 6" descr="Livro aber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576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582975</xdr:colOff>
      <xdr:row>4</xdr:row>
      <xdr:rowOff>0</xdr:rowOff>
    </xdr:from>
    <xdr:to>
      <xdr:col>2</xdr:col>
      <xdr:colOff>333375</xdr:colOff>
      <xdr:row>5</xdr:row>
      <xdr:rowOff>112350</xdr:rowOff>
    </xdr:to>
    <xdr:pic>
      <xdr:nvPicPr>
        <xdr:cNvPr id="8" name="Gráfico 7" descr="Calculador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192575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360000</xdr:colOff>
      <xdr:row>5</xdr:row>
      <xdr:rowOff>112350</xdr:rowOff>
    </xdr:to>
    <xdr:pic>
      <xdr:nvPicPr>
        <xdr:cNvPr id="9" name="Gráfico 8" descr="Engrenagem únic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4384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278175</xdr:colOff>
      <xdr:row>4</xdr:row>
      <xdr:rowOff>0</xdr:rowOff>
    </xdr:from>
    <xdr:to>
      <xdr:col>17</xdr:col>
      <xdr:colOff>28575</xdr:colOff>
      <xdr:row>5</xdr:row>
      <xdr:rowOff>112350</xdr:rowOff>
    </xdr:to>
    <xdr:pic>
      <xdr:nvPicPr>
        <xdr:cNvPr id="10" name="Gráfico 9" descr="Fechar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0031775" y="990600"/>
          <a:ext cx="360000" cy="3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485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5</xdr:col>
      <xdr:colOff>331200</xdr:colOff>
      <xdr:row>3</xdr:row>
      <xdr:rowOff>112350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192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biapoiadas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331200</xdr:colOff>
      <xdr:row>3</xdr:row>
      <xdr:rowOff>112350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657600" y="495300"/>
          <a:ext cx="2160000" cy="3600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engastadas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331200</xdr:colOff>
      <xdr:row>3</xdr:row>
      <xdr:rowOff>112350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0960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apoiada-engastada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331200</xdr:colOff>
      <xdr:row>3</xdr:row>
      <xdr:rowOff>112350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5344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contínuas</a:t>
          </a: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360000</xdr:colOff>
      <xdr:row>5</xdr:row>
      <xdr:rowOff>112350</xdr:rowOff>
    </xdr:to>
    <xdr:pic>
      <xdr:nvPicPr>
        <xdr:cNvPr id="7" name="Gráfico 6" descr="Livro aber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576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582975</xdr:colOff>
      <xdr:row>4</xdr:row>
      <xdr:rowOff>0</xdr:rowOff>
    </xdr:from>
    <xdr:to>
      <xdr:col>2</xdr:col>
      <xdr:colOff>333375</xdr:colOff>
      <xdr:row>5</xdr:row>
      <xdr:rowOff>112350</xdr:rowOff>
    </xdr:to>
    <xdr:pic>
      <xdr:nvPicPr>
        <xdr:cNvPr id="8" name="Gráfico 7" descr="Calculador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192575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360000</xdr:colOff>
      <xdr:row>5</xdr:row>
      <xdr:rowOff>112350</xdr:rowOff>
    </xdr:to>
    <xdr:pic>
      <xdr:nvPicPr>
        <xdr:cNvPr id="9" name="Gráfico 8" descr="Engrenagem únic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4384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278175</xdr:colOff>
      <xdr:row>4</xdr:row>
      <xdr:rowOff>0</xdr:rowOff>
    </xdr:from>
    <xdr:to>
      <xdr:col>17</xdr:col>
      <xdr:colOff>28575</xdr:colOff>
      <xdr:row>5</xdr:row>
      <xdr:rowOff>112350</xdr:rowOff>
    </xdr:to>
    <xdr:pic>
      <xdr:nvPicPr>
        <xdr:cNvPr id="10" name="Gráfico 9" descr="Fechar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0031775" y="990600"/>
          <a:ext cx="360000" cy="36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485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5</xdr:col>
      <xdr:colOff>331200</xdr:colOff>
      <xdr:row>3</xdr:row>
      <xdr:rowOff>112350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192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biapoiadas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331200</xdr:colOff>
      <xdr:row>3</xdr:row>
      <xdr:rowOff>112350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6576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engastadas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331200</xdr:colOff>
      <xdr:row>3</xdr:row>
      <xdr:rowOff>112350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096000" y="495300"/>
          <a:ext cx="2160000" cy="3600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apoiada-engastada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331200</xdr:colOff>
      <xdr:row>3</xdr:row>
      <xdr:rowOff>112350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5344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contínuas</a:t>
          </a: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360000</xdr:colOff>
      <xdr:row>5</xdr:row>
      <xdr:rowOff>112350</xdr:rowOff>
    </xdr:to>
    <xdr:pic>
      <xdr:nvPicPr>
        <xdr:cNvPr id="7" name="Gráfico 6" descr="Livro aber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576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582975</xdr:colOff>
      <xdr:row>4</xdr:row>
      <xdr:rowOff>0</xdr:rowOff>
    </xdr:from>
    <xdr:to>
      <xdr:col>2</xdr:col>
      <xdr:colOff>333375</xdr:colOff>
      <xdr:row>5</xdr:row>
      <xdr:rowOff>112350</xdr:rowOff>
    </xdr:to>
    <xdr:pic>
      <xdr:nvPicPr>
        <xdr:cNvPr id="8" name="Gráfico 7" descr="Calculador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192575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360000</xdr:colOff>
      <xdr:row>5</xdr:row>
      <xdr:rowOff>112350</xdr:rowOff>
    </xdr:to>
    <xdr:pic>
      <xdr:nvPicPr>
        <xdr:cNvPr id="9" name="Gráfico 8" descr="Engrenagem únic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4384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278175</xdr:colOff>
      <xdr:row>4</xdr:row>
      <xdr:rowOff>0</xdr:rowOff>
    </xdr:from>
    <xdr:to>
      <xdr:col>17</xdr:col>
      <xdr:colOff>28575</xdr:colOff>
      <xdr:row>5</xdr:row>
      <xdr:rowOff>112350</xdr:rowOff>
    </xdr:to>
    <xdr:pic>
      <xdr:nvPicPr>
        <xdr:cNvPr id="10" name="Gráfico 9" descr="Fechar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0031775" y="990600"/>
          <a:ext cx="360000" cy="36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485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5</xdr:col>
      <xdr:colOff>331200</xdr:colOff>
      <xdr:row>3</xdr:row>
      <xdr:rowOff>112350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192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biapoiadas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331200</xdr:colOff>
      <xdr:row>3</xdr:row>
      <xdr:rowOff>112350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6576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engastadas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331200</xdr:colOff>
      <xdr:row>3</xdr:row>
      <xdr:rowOff>112350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096000" y="495300"/>
          <a:ext cx="2160000" cy="3600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apoiada-engastada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331200</xdr:colOff>
      <xdr:row>3</xdr:row>
      <xdr:rowOff>112350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5344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contínuas</a:t>
          </a: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360000</xdr:colOff>
      <xdr:row>5</xdr:row>
      <xdr:rowOff>112350</xdr:rowOff>
    </xdr:to>
    <xdr:pic>
      <xdr:nvPicPr>
        <xdr:cNvPr id="7" name="Gráfico 6" descr="Livro aber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576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582975</xdr:colOff>
      <xdr:row>4</xdr:row>
      <xdr:rowOff>0</xdr:rowOff>
    </xdr:from>
    <xdr:to>
      <xdr:col>2</xdr:col>
      <xdr:colOff>333375</xdr:colOff>
      <xdr:row>5</xdr:row>
      <xdr:rowOff>112350</xdr:rowOff>
    </xdr:to>
    <xdr:pic>
      <xdr:nvPicPr>
        <xdr:cNvPr id="8" name="Gráfico 7" descr="Calculador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192575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360000</xdr:colOff>
      <xdr:row>5</xdr:row>
      <xdr:rowOff>112350</xdr:rowOff>
    </xdr:to>
    <xdr:pic>
      <xdr:nvPicPr>
        <xdr:cNvPr id="9" name="Gráfico 8" descr="Engrenagem únic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4384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278175</xdr:colOff>
      <xdr:row>4</xdr:row>
      <xdr:rowOff>0</xdr:rowOff>
    </xdr:from>
    <xdr:to>
      <xdr:col>17</xdr:col>
      <xdr:colOff>28575</xdr:colOff>
      <xdr:row>5</xdr:row>
      <xdr:rowOff>112350</xdr:rowOff>
    </xdr:to>
    <xdr:pic>
      <xdr:nvPicPr>
        <xdr:cNvPr id="10" name="Gráfico 9" descr="Fechar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0031775" y="990600"/>
          <a:ext cx="360000" cy="3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485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5</xdr:col>
      <xdr:colOff>331200</xdr:colOff>
      <xdr:row>3</xdr:row>
      <xdr:rowOff>112350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192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biapoiadas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331200</xdr:colOff>
      <xdr:row>3</xdr:row>
      <xdr:rowOff>112350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6576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engastadas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331200</xdr:colOff>
      <xdr:row>3</xdr:row>
      <xdr:rowOff>112350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6096000" y="495300"/>
          <a:ext cx="2160000" cy="3600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apoiada-engastada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331200</xdr:colOff>
      <xdr:row>3</xdr:row>
      <xdr:rowOff>112350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534400" y="495300"/>
          <a:ext cx="2160000" cy="36000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 Vigas contínuas</a:t>
          </a: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360000</xdr:colOff>
      <xdr:row>5</xdr:row>
      <xdr:rowOff>112350</xdr:rowOff>
    </xdr:to>
    <xdr:pic>
      <xdr:nvPicPr>
        <xdr:cNvPr id="7" name="Gráfico 6" descr="Livro aber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576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582975</xdr:colOff>
      <xdr:row>4</xdr:row>
      <xdr:rowOff>0</xdr:rowOff>
    </xdr:from>
    <xdr:to>
      <xdr:col>2</xdr:col>
      <xdr:colOff>333375</xdr:colOff>
      <xdr:row>5</xdr:row>
      <xdr:rowOff>112350</xdr:rowOff>
    </xdr:to>
    <xdr:pic>
      <xdr:nvPicPr>
        <xdr:cNvPr id="8" name="Gráfico 7" descr="Calculador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192575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360000</xdr:colOff>
      <xdr:row>5</xdr:row>
      <xdr:rowOff>112350</xdr:rowOff>
    </xdr:to>
    <xdr:pic>
      <xdr:nvPicPr>
        <xdr:cNvPr id="9" name="Gráfico 8" descr="Engrenagem únic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438400" y="9906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278175</xdr:colOff>
      <xdr:row>4</xdr:row>
      <xdr:rowOff>0</xdr:rowOff>
    </xdr:from>
    <xdr:to>
      <xdr:col>17</xdr:col>
      <xdr:colOff>28575</xdr:colOff>
      <xdr:row>5</xdr:row>
      <xdr:rowOff>112350</xdr:rowOff>
    </xdr:to>
    <xdr:pic>
      <xdr:nvPicPr>
        <xdr:cNvPr id="10" name="Gráfico 9" descr="Fechar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0031775" y="990600"/>
          <a:ext cx="360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7CAE6-5051-41F1-A3DF-FA4D1AD1DEE3}">
  <sheetPr codeName="Planilha1"/>
  <dimension ref="A1:T72"/>
  <sheetViews>
    <sheetView workbookViewId="0"/>
  </sheetViews>
  <sheetFormatPr defaultRowHeight="15" x14ac:dyDescent="0.25"/>
  <sheetData>
    <row r="1" spans="1:20" ht="20.100000000000001" customHeight="1" x14ac:dyDescent="0.25">
      <c r="A1" s="10"/>
      <c r="B1" s="3"/>
      <c r="C1" s="90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</row>
    <row r="2" spans="1:20" ht="20.100000000000001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ht="20.100000000000001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20.100000000000001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0.100000000000001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20.100000000000001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ht="20.100000000000001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20.100000000000001" customHeight="1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92" t="s">
        <v>1</v>
      </c>
      <c r="P8" s="92"/>
      <c r="Q8" s="92"/>
      <c r="R8" s="92"/>
      <c r="S8" s="92"/>
      <c r="T8" s="17"/>
    </row>
    <row r="9" spans="1:20" ht="20.100000000000001" customHeight="1" x14ac:dyDescent="0.25">
      <c r="A9" s="15"/>
      <c r="B9" s="16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0.100000000000001" customHeight="1" x14ac:dyDescent="0.25">
      <c r="A10" s="15"/>
      <c r="B10" s="22" t="s">
        <v>3</v>
      </c>
      <c r="C10" s="21">
        <v>30</v>
      </c>
      <c r="D10" s="23" t="s">
        <v>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20.100000000000001" customHeight="1" x14ac:dyDescent="0.25">
      <c r="A11" s="15"/>
      <c r="B11" s="22" t="s">
        <v>4</v>
      </c>
      <c r="C11" s="21">
        <v>12</v>
      </c>
      <c r="D11" s="23" t="s">
        <v>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20.100000000000001" customHeight="1" x14ac:dyDescent="0.25">
      <c r="A12" s="15"/>
      <c r="B12" s="22" t="s">
        <v>5</v>
      </c>
      <c r="C12" s="21">
        <v>3</v>
      </c>
      <c r="D12" s="23" t="s">
        <v>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</row>
    <row r="13" spans="1:20" ht="20.100000000000001" customHeight="1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1:20" ht="20.100000000000001" customHeight="1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</row>
    <row r="15" spans="1:20" ht="20.100000000000001" customHeight="1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</row>
    <row r="16" spans="1:20" ht="20.100000000000001" customHeight="1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</row>
    <row r="17" spans="1:20" ht="20.100000000000001" customHeight="1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</row>
    <row r="18" spans="1:20" ht="20.100000000000001" customHeight="1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</row>
    <row r="19" spans="1:20" ht="20.100000000000001" customHeight="1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</row>
    <row r="20" spans="1:20" ht="20.100000000000001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</row>
    <row r="21" spans="1:20" ht="20.100000000000001" customHeight="1" x14ac:dyDescent="0.2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</row>
    <row r="22" spans="1:20" ht="20.100000000000001" customHeight="1" x14ac:dyDescent="0.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</row>
    <row r="23" spans="1:20" ht="20.100000000000001" customHeight="1" x14ac:dyDescent="0.2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1:20" ht="20.100000000000001" customHeight="1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1:20" ht="20.100000000000001" customHeight="1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1:20" ht="20.100000000000001" customHeight="1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1:20" ht="20.100000000000001" customHeight="1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1:20" ht="20.100000000000001" customHeight="1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1:20" ht="20.100000000000001" customHeight="1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1:20" ht="20.100000000000001" customHeight="1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1:20" ht="20.100000000000001" customHeight="1" x14ac:dyDescent="0.2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1:20" ht="20.100000000000001" customHeight="1" x14ac:dyDescent="0.2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ht="20.100000000000001" customHeight="1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1:20" ht="20.100000000000001" customHeight="1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ht="20.100000000000001" customHeight="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 ht="20.100000000000001" customHeight="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1:20" ht="20.100000000000001" customHeight="1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</row>
    <row r="38" spans="1:20" ht="20.100000000000001" customHeight="1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1:20" ht="20.100000000000001" customHeight="1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20" ht="20.100000000000001" customHeight="1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ht="20.100000000000001" customHeight="1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</row>
    <row r="42" spans="1:20" ht="20.100000000000001" customHeight="1" x14ac:dyDescent="0.2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</row>
    <row r="43" spans="1:20" ht="20.100000000000001" customHeight="1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</row>
    <row r="44" spans="1:20" ht="20.100000000000001" customHeight="1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</row>
    <row r="45" spans="1:20" ht="20.100000000000001" customHeight="1" x14ac:dyDescent="0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</row>
    <row r="46" spans="1:20" ht="20.100000000000001" customHeight="1" x14ac:dyDescent="0.2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</row>
    <row r="47" spans="1:20" ht="20.100000000000001" customHeight="1" x14ac:dyDescent="0.2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2">
    <mergeCell ref="C1:T1"/>
    <mergeCell ref="O8:S8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58D75-03B0-4F34-BCEF-B66186ED7C1A}">
  <sheetPr codeName="Planilha10"/>
  <dimension ref="A1:T72"/>
  <sheetViews>
    <sheetView workbookViewId="0">
      <selection activeCell="M11" sqref="M11"/>
    </sheetView>
  </sheetViews>
  <sheetFormatPr defaultRowHeight="15" x14ac:dyDescent="0.25"/>
  <sheetData>
    <row r="1" spans="1:20" ht="20.100000000000001" customHeight="1" x14ac:dyDescent="0.25">
      <c r="A1" s="1"/>
      <c r="B1" s="1"/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10000000000000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10000000000000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0.100000000000001" customHeight="1" x14ac:dyDescent="0.25"/>
    <row r="8" spans="1:20" ht="20.100000000000001" customHeight="1" x14ac:dyDescent="0.25"/>
    <row r="9" spans="1:20" ht="20.100000000000001" customHeight="1" x14ac:dyDescent="0.25"/>
    <row r="10" spans="1:20" ht="20.100000000000001" customHeight="1" x14ac:dyDescent="0.25">
      <c r="D10" s="79" t="s">
        <v>121</v>
      </c>
    </row>
    <row r="11" spans="1:20" ht="20.100000000000001" customHeight="1" x14ac:dyDescent="0.25"/>
    <row r="12" spans="1:20" ht="20.100000000000001" customHeight="1" x14ac:dyDescent="0.25"/>
    <row r="13" spans="1:20" ht="20.100000000000001" customHeight="1" x14ac:dyDescent="0.25"/>
    <row r="14" spans="1:20" ht="20.100000000000001" customHeight="1" x14ac:dyDescent="0.25"/>
    <row r="15" spans="1:20" ht="20.100000000000001" customHeight="1" x14ac:dyDescent="0.25"/>
    <row r="16" spans="1:2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1">
    <mergeCell ref="C1:T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894C-01FE-43E7-B01D-D4D4743140F3}">
  <sheetPr codeName="Planilha2"/>
  <dimension ref="A1:T93"/>
  <sheetViews>
    <sheetView tabSelected="1" topLeftCell="A25" workbookViewId="0">
      <selection activeCell="K28" sqref="K28"/>
    </sheetView>
  </sheetViews>
  <sheetFormatPr defaultRowHeight="15" x14ac:dyDescent="0.25"/>
  <cols>
    <col min="10" max="10" width="12.42578125" bestFit="1" customWidth="1"/>
    <col min="11" max="11" width="11.28515625" bestFit="1" customWidth="1"/>
  </cols>
  <sheetData>
    <row r="1" spans="1:20" ht="20.100000000000001" customHeight="1" x14ac:dyDescent="0.25">
      <c r="A1" s="2"/>
      <c r="B1" s="3"/>
      <c r="C1" s="90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</row>
    <row r="2" spans="1:20" ht="20.100000000000001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ht="20.100000000000001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20.100000000000001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0.100000000000001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20.100000000000001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ht="20.100000000000001" customHeight="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1"/>
    </row>
    <row r="8" spans="1:20" ht="20.100000000000001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20.100000000000001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20.100000000000001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20.100000000000001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0" ht="20.100000000000001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1:20" ht="20.100000000000001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1:20" ht="20.100000000000001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</row>
    <row r="15" spans="1:20" ht="20.100000000000001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</row>
    <row r="16" spans="1:20" ht="20.100000000000001" customHeight="1" x14ac:dyDescent="0.25">
      <c r="A16" s="4"/>
      <c r="B16" s="5"/>
      <c r="C16" s="5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</row>
    <row r="17" spans="1:20" ht="20.100000000000001" customHeight="1" x14ac:dyDescent="0.25">
      <c r="A17" s="4"/>
      <c r="B17" s="5"/>
      <c r="C17" s="50" t="s">
        <v>10</v>
      </c>
      <c r="D17" s="26">
        <v>1.4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</row>
    <row r="18" spans="1:20" ht="20.100000000000001" customHeight="1" x14ac:dyDescent="0.25">
      <c r="A18" s="4"/>
      <c r="B18" s="5"/>
      <c r="C18" s="50" t="s">
        <v>11</v>
      </c>
      <c r="D18" s="26">
        <v>1.4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</row>
    <row r="19" spans="1:20" ht="20.100000000000001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</row>
    <row r="20" spans="1:20" ht="20.100000000000001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</row>
    <row r="21" spans="1:20" ht="20.100000000000001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</row>
    <row r="22" spans="1:20" ht="20.100000000000001" customHeight="1" x14ac:dyDescent="0.25">
      <c r="A22" s="4"/>
      <c r="B22" s="5"/>
      <c r="C22" s="5" t="s">
        <v>13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/>
    </row>
    <row r="23" spans="1:20" ht="20.100000000000001" customHeight="1" x14ac:dyDescent="0.25">
      <c r="A23" s="4"/>
      <c r="B23" s="5"/>
      <c r="C23" s="50" t="s">
        <v>14</v>
      </c>
      <c r="D23" s="34">
        <v>15.2</v>
      </c>
      <c r="E23" s="5" t="s">
        <v>17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</row>
    <row r="24" spans="1:20" ht="20.100000000000001" customHeight="1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</row>
    <row r="25" spans="1:20" ht="20.100000000000001" customHeight="1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</row>
    <row r="26" spans="1:20" ht="20.100000000000001" customHeight="1" x14ac:dyDescent="0.25">
      <c r="A26" s="4"/>
      <c r="B26" s="5"/>
      <c r="C26" s="5" t="s">
        <v>19</v>
      </c>
      <c r="D26" s="5"/>
      <c r="E26" s="5"/>
      <c r="F26" s="5"/>
      <c r="G26" s="5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5"/>
      <c r="S26" s="5"/>
      <c r="T26" s="6"/>
    </row>
    <row r="27" spans="1:20" ht="20.100000000000001" customHeight="1" x14ac:dyDescent="0.25">
      <c r="A27" s="4"/>
      <c r="B27" s="5"/>
      <c r="C27" s="75" t="s">
        <v>110</v>
      </c>
      <c r="D27" s="26" t="s">
        <v>107</v>
      </c>
      <c r="E27" s="5"/>
      <c r="F27" s="5"/>
      <c r="G27" s="5"/>
      <c r="H27" s="84"/>
      <c r="I27" s="84"/>
      <c r="J27" s="84" t="s">
        <v>135</v>
      </c>
      <c r="K27" s="84" t="s">
        <v>136</v>
      </c>
      <c r="L27" s="84" t="s">
        <v>137</v>
      </c>
      <c r="M27" s="84"/>
      <c r="N27" s="84"/>
      <c r="O27" s="84"/>
      <c r="P27" s="84"/>
      <c r="Q27" s="84"/>
      <c r="R27" s="5"/>
      <c r="S27" s="5"/>
      <c r="T27" s="6"/>
    </row>
    <row r="28" spans="1:20" ht="20.100000000000001" customHeight="1" x14ac:dyDescent="0.25">
      <c r="A28" s="4"/>
      <c r="B28" s="5"/>
      <c r="C28" s="50" t="s">
        <v>20</v>
      </c>
      <c r="D28" s="26">
        <f>IF(D27="CAA I", 2.5,IF(D27="CAA II",3,IF(D27="CAA III",4,IF(D27="CAA IV",5,))))</f>
        <v>3</v>
      </c>
      <c r="E28" s="49" t="s">
        <v>6</v>
      </c>
      <c r="F28" s="5"/>
      <c r="G28" s="5"/>
      <c r="H28" s="84"/>
      <c r="I28" s="84"/>
      <c r="J28" s="85" t="b">
        <v>0</v>
      </c>
      <c r="K28" s="85" t="str">
        <f>IF(J28=FALSE,"",5)</f>
        <v/>
      </c>
      <c r="L28" s="83" t="str">
        <f>IF(K28="","",((PI()*((K28/10)^2))/4))</f>
        <v/>
      </c>
      <c r="M28" s="84"/>
      <c r="N28" s="84"/>
      <c r="O28" s="84"/>
      <c r="P28" s="84"/>
      <c r="Q28" s="84"/>
      <c r="R28" s="1"/>
      <c r="S28" s="5" t="s">
        <v>140</v>
      </c>
      <c r="T28" s="6"/>
    </row>
    <row r="29" spans="1:20" ht="20.100000000000001" customHeight="1" x14ac:dyDescent="0.3">
      <c r="A29" s="4"/>
      <c r="B29" s="5"/>
      <c r="C29" s="24" t="s">
        <v>23</v>
      </c>
      <c r="D29" s="88">
        <v>10</v>
      </c>
      <c r="E29" s="5" t="s">
        <v>28</v>
      </c>
      <c r="F29" s="5"/>
      <c r="G29" s="5"/>
      <c r="H29" s="84"/>
      <c r="I29" s="84"/>
      <c r="J29" s="85" t="b">
        <v>0</v>
      </c>
      <c r="K29" s="85" t="str">
        <f>IF(J29=FALSE,"",6.3)</f>
        <v/>
      </c>
      <c r="L29" s="83" t="str">
        <f t="shared" ref="L29:L34" si="0">IF(K29="","",((PI()*((K29/10)^2))/4))</f>
        <v/>
      </c>
      <c r="M29" s="86"/>
      <c r="N29" s="86"/>
      <c r="O29" s="87" t="s">
        <v>132</v>
      </c>
      <c r="P29" s="83">
        <f>'Biapoiada 3'!R26</f>
        <v>1.6345692995280365</v>
      </c>
      <c r="Q29" s="84" t="s">
        <v>76</v>
      </c>
      <c r="R29" s="5">
        <v>5</v>
      </c>
      <c r="S29" s="5" t="str">
        <f>IF(L28="","",(ROUNDUP(($P$29/L28),0.1)))</f>
        <v/>
      </c>
      <c r="T29" s="6"/>
    </row>
    <row r="30" spans="1:20" ht="20.100000000000001" customHeight="1" x14ac:dyDescent="0.3">
      <c r="A30" s="4"/>
      <c r="B30" s="5"/>
      <c r="C30" s="24" t="s">
        <v>27</v>
      </c>
      <c r="D30" s="26">
        <v>5</v>
      </c>
      <c r="E30" s="5" t="s">
        <v>28</v>
      </c>
      <c r="F30" s="5"/>
      <c r="G30" s="5"/>
      <c r="H30" s="84"/>
      <c r="I30" s="84"/>
      <c r="J30" s="85" t="b">
        <v>1</v>
      </c>
      <c r="K30" s="85">
        <f>IF(J30=FALSE,"",8)</f>
        <v>8</v>
      </c>
      <c r="L30" s="83">
        <f t="shared" si="0"/>
        <v>0.50265482457436694</v>
      </c>
      <c r="M30" s="84"/>
      <c r="N30" s="84"/>
      <c r="O30" s="85" t="s">
        <v>125</v>
      </c>
      <c r="P30" s="89" t="s">
        <v>138</v>
      </c>
      <c r="Q30" s="84" t="s">
        <v>139</v>
      </c>
      <c r="R30" s="5">
        <v>6.3</v>
      </c>
      <c r="S30" s="5" t="str">
        <f t="shared" ref="S30:S35" si="1">IF(L29="","",(ROUNDUP(($P$29/L29),0.1)))</f>
        <v/>
      </c>
      <c r="T30" s="6"/>
    </row>
    <row r="31" spans="1:20" ht="20.100000000000001" customHeight="1" x14ac:dyDescent="0.25">
      <c r="A31" s="4"/>
      <c r="B31" s="5"/>
      <c r="C31" s="5"/>
      <c r="D31" s="5"/>
      <c r="E31" s="5"/>
      <c r="F31" s="5"/>
      <c r="G31" s="5"/>
      <c r="H31" s="84"/>
      <c r="I31" s="84"/>
      <c r="J31" s="85" t="b">
        <v>1</v>
      </c>
      <c r="K31" s="85">
        <f>IF(J31=FALSE,"",10)</f>
        <v>10</v>
      </c>
      <c r="L31" s="83">
        <f t="shared" si="0"/>
        <v>0.78539816339744828</v>
      </c>
      <c r="M31" s="84"/>
      <c r="N31" s="84"/>
      <c r="O31" s="84"/>
      <c r="P31" s="84"/>
      <c r="Q31" s="84"/>
      <c r="R31" s="5">
        <v>8</v>
      </c>
      <c r="S31" s="5">
        <f t="shared" si="1"/>
        <v>4</v>
      </c>
      <c r="T31" s="6"/>
    </row>
    <row r="32" spans="1:20" ht="20.100000000000001" customHeight="1" x14ac:dyDescent="0.25">
      <c r="A32" s="4"/>
      <c r="B32" s="5"/>
      <c r="C32" s="5" t="s">
        <v>31</v>
      </c>
      <c r="D32" s="5"/>
      <c r="E32" s="5"/>
      <c r="F32" s="5"/>
      <c r="G32" s="5"/>
      <c r="H32" s="84"/>
      <c r="I32" s="84"/>
      <c r="J32" s="85" t="b">
        <v>1</v>
      </c>
      <c r="K32" s="85">
        <f>IF(J32=FALSE,"",12.5)</f>
        <v>12.5</v>
      </c>
      <c r="L32" s="83">
        <f t="shared" si="0"/>
        <v>1.227184630308513</v>
      </c>
      <c r="M32" s="84"/>
      <c r="N32" s="84"/>
      <c r="O32" s="84"/>
      <c r="P32" s="84"/>
      <c r="Q32" s="84"/>
      <c r="R32" s="5">
        <v>10</v>
      </c>
      <c r="S32" s="5">
        <f t="shared" si="1"/>
        <v>3</v>
      </c>
      <c r="T32" s="6"/>
    </row>
    <row r="33" spans="1:20" ht="20.100000000000001" customHeight="1" x14ac:dyDescent="0.25">
      <c r="A33" s="4"/>
      <c r="B33" s="5"/>
      <c r="C33" s="50" t="s">
        <v>32</v>
      </c>
      <c r="D33" s="54">
        <v>20</v>
      </c>
      <c r="E33" s="5" t="s">
        <v>36</v>
      </c>
      <c r="F33" s="5"/>
      <c r="G33" s="5"/>
      <c r="H33" s="84"/>
      <c r="I33" s="84"/>
      <c r="J33" s="85" t="b">
        <v>0</v>
      </c>
      <c r="K33" s="85" t="str">
        <f>IF(J33=FALSE,"",16)</f>
        <v/>
      </c>
      <c r="L33" s="83" t="str">
        <f t="shared" si="0"/>
        <v/>
      </c>
      <c r="M33" s="84"/>
      <c r="N33" s="84"/>
      <c r="O33" s="84"/>
      <c r="P33" s="84"/>
      <c r="Q33" s="84"/>
      <c r="R33" s="5">
        <v>12.5</v>
      </c>
      <c r="S33" s="5">
        <f t="shared" si="1"/>
        <v>2</v>
      </c>
      <c r="T33" s="6"/>
    </row>
    <row r="34" spans="1:20" ht="20.100000000000001" customHeight="1" x14ac:dyDescent="0.25">
      <c r="A34" s="4"/>
      <c r="B34" s="5"/>
      <c r="C34" s="24" t="s">
        <v>37</v>
      </c>
      <c r="D34" s="93" t="s">
        <v>49</v>
      </c>
      <c r="E34" s="94"/>
      <c r="F34" s="5"/>
      <c r="G34" s="5"/>
      <c r="H34" s="84"/>
      <c r="I34" s="84"/>
      <c r="J34" s="85" t="b">
        <v>0</v>
      </c>
      <c r="K34" s="85" t="str">
        <f>IF(J34=FALSE,"",20)</f>
        <v/>
      </c>
      <c r="L34" s="83" t="str">
        <f t="shared" si="0"/>
        <v/>
      </c>
      <c r="M34" s="84"/>
      <c r="N34" s="84"/>
      <c r="O34" s="84"/>
      <c r="P34" s="84"/>
      <c r="Q34" s="84"/>
      <c r="R34" s="5">
        <v>16</v>
      </c>
      <c r="S34" s="5" t="str">
        <f t="shared" si="1"/>
        <v/>
      </c>
      <c r="T34" s="6"/>
    </row>
    <row r="35" spans="1:20" ht="20.100000000000001" customHeight="1" x14ac:dyDescent="0.25">
      <c r="A35" s="4"/>
      <c r="B35" s="5"/>
      <c r="C35" s="24" t="s">
        <v>51</v>
      </c>
      <c r="D35" s="26" t="s">
        <v>45</v>
      </c>
      <c r="E35" s="5"/>
      <c r="F35" s="5"/>
      <c r="G35" s="5"/>
      <c r="H35" s="84"/>
      <c r="I35" s="84"/>
      <c r="J35" s="84" t="s">
        <v>133</v>
      </c>
      <c r="K35" s="84">
        <f>IF(AND(K28="",K29="",K30="",K31="",K32="",K33="",K34=""),"Escolha uma bitola",LARGE(K28:K34,1))</f>
        <v>12.5</v>
      </c>
      <c r="L35" s="84"/>
      <c r="M35" s="84"/>
      <c r="N35" s="84"/>
      <c r="O35" s="84"/>
      <c r="P35" s="84"/>
      <c r="Q35" s="84"/>
      <c r="R35" s="5">
        <v>20</v>
      </c>
      <c r="S35" s="5" t="str">
        <f t="shared" si="1"/>
        <v/>
      </c>
      <c r="T35" s="6"/>
    </row>
    <row r="36" spans="1:20" ht="20.100000000000001" customHeight="1" x14ac:dyDescent="0.25">
      <c r="A36" s="4"/>
      <c r="B36" s="5"/>
      <c r="C36" s="24" t="s">
        <v>52</v>
      </c>
      <c r="D36" s="56">
        <f>IF(D35="brita 0",S75,IF(D35="brita 1",S76,IF(D35="brita 2",S77,IF(D35="brita 3",S78,IF(D35="brita 4",S79,"Escolha o agregado")))))</f>
        <v>19</v>
      </c>
      <c r="E36" s="5" t="s">
        <v>28</v>
      </c>
      <c r="F36" s="5"/>
      <c r="G36" s="5"/>
      <c r="H36" s="84"/>
      <c r="I36" s="84"/>
      <c r="J36" s="84" t="s">
        <v>134</v>
      </c>
      <c r="K36" s="84">
        <f>IF(AND(K28="",K29="",K30="",K31="",K32="",K33="",K34=""),"Escolha uma bitola",SMALL(K28:K34,1))</f>
        <v>8</v>
      </c>
      <c r="L36" s="84"/>
      <c r="M36" s="84"/>
      <c r="N36" s="84"/>
      <c r="O36" s="84"/>
      <c r="P36" s="84"/>
      <c r="Q36" s="84"/>
      <c r="R36" s="5"/>
      <c r="S36" s="5"/>
      <c r="T36" s="6"/>
    </row>
    <row r="37" spans="1:20" ht="20.100000000000001" customHeight="1" x14ac:dyDescent="0.25">
      <c r="A37" s="4"/>
      <c r="B37" s="5"/>
      <c r="C37" s="5"/>
      <c r="D37" s="5"/>
      <c r="E37" s="5"/>
      <c r="F37" s="5"/>
      <c r="G37" s="5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5"/>
      <c r="S37" s="5"/>
      <c r="T37" s="6"/>
    </row>
    <row r="38" spans="1:20" ht="20.100000000000001" customHeight="1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"/>
    </row>
    <row r="39" spans="1:20" ht="20.100000000000001" customHeight="1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6"/>
    </row>
    <row r="40" spans="1:20" ht="20.100000000000001" customHeight="1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6"/>
    </row>
    <row r="41" spans="1:20" ht="20.100000000000001" customHeight="1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6"/>
    </row>
    <row r="42" spans="1:20" ht="20.100000000000001" customHeight="1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6"/>
    </row>
    <row r="43" spans="1:20" ht="20.100000000000001" customHeight="1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6"/>
    </row>
    <row r="44" spans="1:20" ht="20.100000000000001" customHeight="1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6"/>
    </row>
    <row r="45" spans="1:20" ht="20.100000000000001" customHeight="1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6"/>
    </row>
    <row r="46" spans="1:20" ht="20.100000000000001" customHeight="1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6"/>
    </row>
    <row r="47" spans="1:20" ht="20.100000000000001" customHeight="1" x14ac:dyDescent="0.2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6"/>
    </row>
    <row r="48" spans="1:20" ht="20.100000000000001" customHeight="1" x14ac:dyDescent="0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6"/>
    </row>
    <row r="49" spans="1:20" ht="20.100000000000001" customHeight="1" x14ac:dyDescent="0.2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6"/>
    </row>
    <row r="50" spans="1:20" ht="20.100000000000001" customHeight="1" x14ac:dyDescent="0.2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6"/>
    </row>
    <row r="51" spans="1:20" ht="20.100000000000001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</row>
    <row r="52" spans="1:20" ht="20.100000000000001" customHeight="1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6"/>
    </row>
    <row r="53" spans="1:20" ht="20.100000000000001" customHeight="1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9"/>
    </row>
    <row r="54" spans="1:20" ht="20.100000000000001" customHeight="1" x14ac:dyDescent="0.25"/>
    <row r="55" spans="1:20" ht="20.100000000000001" customHeight="1" x14ac:dyDescent="0.25"/>
    <row r="56" spans="1:20" ht="20.100000000000001" customHeight="1" x14ac:dyDescent="0.25">
      <c r="R56" t="s">
        <v>24</v>
      </c>
    </row>
    <row r="57" spans="1:20" ht="20.100000000000001" customHeight="1" x14ac:dyDescent="0.25">
      <c r="R57" t="s">
        <v>25</v>
      </c>
      <c r="S57" t="s">
        <v>26</v>
      </c>
      <c r="T57" t="s">
        <v>76</v>
      </c>
    </row>
    <row r="58" spans="1:20" ht="20.100000000000001" customHeight="1" x14ac:dyDescent="0.25">
      <c r="R58" s="51">
        <v>5</v>
      </c>
      <c r="T58" s="60">
        <f>(PI()*((R58^2)/100))/4</f>
        <v>0.19634954084936207</v>
      </c>
    </row>
    <row r="59" spans="1:20" ht="20.100000000000001" customHeight="1" x14ac:dyDescent="0.25">
      <c r="R59">
        <v>6.3</v>
      </c>
      <c r="T59" s="60">
        <f>(PI()*((R59^2)/100))/4</f>
        <v>0.31172453105244718</v>
      </c>
    </row>
    <row r="60" spans="1:20" ht="20.100000000000001" customHeight="1" x14ac:dyDescent="0.25">
      <c r="R60" s="51">
        <v>8</v>
      </c>
      <c r="T60" s="60">
        <f t="shared" ref="T60:T65" si="2">(PI()*((R60^2)/100))/4</f>
        <v>0.50265482457436694</v>
      </c>
    </row>
    <row r="61" spans="1:20" ht="20.100000000000001" customHeight="1" x14ac:dyDescent="0.25">
      <c r="R61" s="51">
        <v>10</v>
      </c>
      <c r="T61" s="60">
        <f t="shared" si="2"/>
        <v>0.78539816339744828</v>
      </c>
    </row>
    <row r="62" spans="1:20" ht="20.100000000000001" customHeight="1" x14ac:dyDescent="0.25">
      <c r="R62" s="51">
        <v>12.5</v>
      </c>
      <c r="T62" s="60">
        <f t="shared" si="2"/>
        <v>1.227184630308513</v>
      </c>
    </row>
    <row r="63" spans="1:20" ht="20.100000000000001" customHeight="1" x14ac:dyDescent="0.25">
      <c r="R63" s="51">
        <v>16</v>
      </c>
      <c r="T63" s="60">
        <f t="shared" si="2"/>
        <v>2.0106192982974678</v>
      </c>
    </row>
    <row r="64" spans="1:20" ht="20.100000000000001" customHeight="1" x14ac:dyDescent="0.25">
      <c r="R64" s="51">
        <v>20</v>
      </c>
      <c r="T64" s="60">
        <f t="shared" si="2"/>
        <v>3.1415926535897931</v>
      </c>
    </row>
    <row r="65" spans="18:20" ht="20.100000000000001" customHeight="1" x14ac:dyDescent="0.25">
      <c r="R65" s="51">
        <v>25</v>
      </c>
      <c r="T65" s="60">
        <f t="shared" si="2"/>
        <v>4.908738521234052</v>
      </c>
    </row>
    <row r="66" spans="18:20" ht="20.100000000000001" customHeight="1" x14ac:dyDescent="0.25"/>
    <row r="67" spans="18:20" ht="20.100000000000001" customHeight="1" x14ac:dyDescent="0.25">
      <c r="R67" t="s">
        <v>38</v>
      </c>
    </row>
    <row r="68" spans="18:20" ht="20.100000000000001" customHeight="1" x14ac:dyDescent="0.25">
      <c r="R68" t="s">
        <v>39</v>
      </c>
    </row>
    <row r="69" spans="18:20" ht="20.100000000000001" customHeight="1" x14ac:dyDescent="0.25">
      <c r="R69" t="s">
        <v>48</v>
      </c>
    </row>
    <row r="70" spans="18:20" ht="20.100000000000001" customHeight="1" x14ac:dyDescent="0.25">
      <c r="R70" t="s">
        <v>49</v>
      </c>
    </row>
    <row r="71" spans="18:20" ht="20.100000000000001" customHeight="1" x14ac:dyDescent="0.25">
      <c r="R71" t="s">
        <v>50</v>
      </c>
    </row>
    <row r="72" spans="18:20" ht="20.100000000000001" customHeight="1" x14ac:dyDescent="0.25"/>
    <row r="73" spans="18:20" ht="20.100000000000001" customHeight="1" x14ac:dyDescent="0.25">
      <c r="R73" t="s">
        <v>40</v>
      </c>
    </row>
    <row r="74" spans="18:20" x14ac:dyDescent="0.25">
      <c r="R74" t="s">
        <v>46</v>
      </c>
      <c r="S74" t="s">
        <v>47</v>
      </c>
    </row>
    <row r="75" spans="18:20" x14ac:dyDescent="0.25">
      <c r="R75" s="55" t="s">
        <v>41</v>
      </c>
      <c r="S75">
        <v>9.5</v>
      </c>
    </row>
    <row r="76" spans="18:20" x14ac:dyDescent="0.25">
      <c r="R76" s="55" t="s">
        <v>45</v>
      </c>
      <c r="S76">
        <v>19</v>
      </c>
    </row>
    <row r="77" spans="18:20" x14ac:dyDescent="0.25">
      <c r="R77" s="55" t="s">
        <v>42</v>
      </c>
      <c r="S77">
        <v>38</v>
      </c>
    </row>
    <row r="78" spans="18:20" x14ac:dyDescent="0.25">
      <c r="R78" s="55" t="s">
        <v>43</v>
      </c>
      <c r="S78">
        <v>50</v>
      </c>
    </row>
    <row r="79" spans="18:20" x14ac:dyDescent="0.25">
      <c r="R79" s="55" t="s">
        <v>44</v>
      </c>
      <c r="S79">
        <v>76</v>
      </c>
    </row>
    <row r="82" spans="18:19" x14ac:dyDescent="0.25">
      <c r="R82" t="s">
        <v>105</v>
      </c>
    </row>
    <row r="83" spans="18:19" x14ac:dyDescent="0.25">
      <c r="R83" t="s">
        <v>106</v>
      </c>
      <c r="S83">
        <v>2.5</v>
      </c>
    </row>
    <row r="84" spans="18:19" x14ac:dyDescent="0.25">
      <c r="R84" t="s">
        <v>107</v>
      </c>
      <c r="S84">
        <v>3</v>
      </c>
    </row>
    <row r="85" spans="18:19" x14ac:dyDescent="0.25">
      <c r="R85" t="s">
        <v>108</v>
      </c>
      <c r="S85">
        <v>4</v>
      </c>
    </row>
    <row r="86" spans="18:19" x14ac:dyDescent="0.25">
      <c r="R86" t="s">
        <v>109</v>
      </c>
      <c r="S86">
        <v>5</v>
      </c>
    </row>
    <row r="89" spans="18:19" x14ac:dyDescent="0.25">
      <c r="R89" t="s">
        <v>111</v>
      </c>
    </row>
    <row r="90" spans="18:19" x14ac:dyDescent="0.25">
      <c r="R90" t="s">
        <v>106</v>
      </c>
      <c r="S90">
        <v>0.4</v>
      </c>
    </row>
    <row r="91" spans="18:19" x14ac:dyDescent="0.25">
      <c r="R91" t="s">
        <v>107</v>
      </c>
      <c r="S91">
        <v>0.3</v>
      </c>
    </row>
    <row r="92" spans="18:19" x14ac:dyDescent="0.25">
      <c r="R92" t="s">
        <v>108</v>
      </c>
      <c r="S92">
        <v>0.3</v>
      </c>
    </row>
    <row r="93" spans="18:19" x14ac:dyDescent="0.25">
      <c r="R93" t="s">
        <v>109</v>
      </c>
      <c r="S93">
        <v>0.2</v>
      </c>
    </row>
  </sheetData>
  <mergeCells count="2">
    <mergeCell ref="C1:T1"/>
    <mergeCell ref="D34:E34"/>
  </mergeCells>
  <dataValidations count="5">
    <dataValidation type="list" allowBlank="1" showInputMessage="1" showErrorMessage="1" sqref="D29:D30" xr:uid="{80E63807-95FD-4ECB-A797-056173E7C0D8}">
      <formula1>$R$58:$R$65</formula1>
    </dataValidation>
    <dataValidation type="list" allowBlank="1" showInputMessage="1" showErrorMessage="1" sqref="D34" xr:uid="{A5CBE098-99AC-4614-B279-82341425621C}">
      <formula1>$R$68:$R$71</formula1>
    </dataValidation>
    <dataValidation type="list" allowBlank="1" showInputMessage="1" showErrorMessage="1" sqref="D35" xr:uid="{658A1F07-1251-4F29-BC4B-3399A2331215}">
      <formula1>$R$75:$R$79</formula1>
    </dataValidation>
    <dataValidation type="list" allowBlank="1" showInputMessage="1" showErrorMessage="1" sqref="D27" xr:uid="{6304CC08-B40C-4E18-900A-36ACCDBA73BD}">
      <formula1>$R$83:$R$86</formula1>
    </dataValidation>
    <dataValidation type="list" showInputMessage="1" showErrorMessage="1" sqref="P31" xr:uid="{4B388EC3-F34A-406C-8E05-BE4DF98807B1}">
      <formula1>$S$29:$S$35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3" name="Check Box 7">
              <controlPr defaultSize="0" autoFill="0" autoLine="0" autoPict="0" altText="5,0">
                <anchor moveWithCells="1">
                  <from>
                    <xdr:col>7</xdr:col>
                    <xdr:colOff>76200</xdr:colOff>
                    <xdr:row>27</xdr:row>
                    <xdr:rowOff>57150</xdr:rowOff>
                  </from>
                  <to>
                    <xdr:col>8</xdr:col>
                    <xdr:colOff>485775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104775</xdr:rowOff>
                  </from>
                  <to>
                    <xdr:col>8</xdr:col>
                    <xdr:colOff>485775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133350</xdr:rowOff>
                  </from>
                  <to>
                    <xdr:col>8</xdr:col>
                    <xdr:colOff>485775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133350</xdr:rowOff>
                  </from>
                  <to>
                    <xdr:col>8</xdr:col>
                    <xdr:colOff>485775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152400</xdr:rowOff>
                  </from>
                  <to>
                    <xdr:col>8</xdr:col>
                    <xdr:colOff>485775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7</xdr:col>
                    <xdr:colOff>95250</xdr:colOff>
                    <xdr:row>32</xdr:row>
                    <xdr:rowOff>161925</xdr:rowOff>
                  </from>
                  <to>
                    <xdr:col>8</xdr:col>
                    <xdr:colOff>504825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7</xdr:col>
                    <xdr:colOff>85725</xdr:colOff>
                    <xdr:row>33</xdr:row>
                    <xdr:rowOff>142875</xdr:rowOff>
                  </from>
                  <to>
                    <xdr:col>8</xdr:col>
                    <xdr:colOff>495300</xdr:colOff>
                    <xdr:row>34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0D7F6-EC09-4EC5-AFAC-BF0643B0AC77}">
  <sheetPr codeName="Planilha3"/>
  <dimension ref="A1:AA130"/>
  <sheetViews>
    <sheetView topLeftCell="C19" zoomScaleNormal="100" workbookViewId="0">
      <selection activeCell="R27" sqref="R27"/>
    </sheetView>
  </sheetViews>
  <sheetFormatPr defaultRowHeight="15" x14ac:dyDescent="0.25"/>
  <cols>
    <col min="5" max="5" width="12" bestFit="1" customWidth="1"/>
  </cols>
  <sheetData>
    <row r="1" spans="1:20" ht="20.100000000000001" customHeight="1" x14ac:dyDescent="0.25">
      <c r="A1" s="2"/>
      <c r="B1" s="3"/>
      <c r="C1" s="90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</row>
    <row r="2" spans="1:20" ht="20.100000000000001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ht="20.100000000000001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20.100000000000001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0.100000000000001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20.100000000000001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ht="20.100000000000001" customHeight="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1"/>
    </row>
    <row r="8" spans="1:20" ht="20.100000000000001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20.100000000000001" customHeight="1" x14ac:dyDescent="0.25">
      <c r="A9" s="4"/>
      <c r="B9" s="5"/>
      <c r="C9" s="37"/>
      <c r="D9" s="38"/>
      <c r="E9" s="38"/>
      <c r="F9" s="38"/>
      <c r="G9" s="38"/>
      <c r="H9" s="38" t="s">
        <v>8</v>
      </c>
      <c r="I9" s="38"/>
      <c r="J9" s="38"/>
      <c r="K9" s="38"/>
      <c r="L9" s="38"/>
      <c r="M9" s="38"/>
      <c r="N9" s="39"/>
      <c r="O9" s="5"/>
      <c r="P9" s="5"/>
      <c r="Q9" s="5"/>
      <c r="R9" s="5"/>
      <c r="S9" s="5"/>
      <c r="T9" s="6"/>
    </row>
    <row r="10" spans="1:20" ht="20.100000000000001" customHeight="1" x14ac:dyDescent="0.25">
      <c r="A10" s="4"/>
      <c r="B10" s="5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5"/>
      <c r="P10" s="5"/>
      <c r="Q10" s="5"/>
      <c r="R10" s="5"/>
      <c r="S10" s="5"/>
      <c r="T10" s="6"/>
    </row>
    <row r="11" spans="1:20" ht="20.100000000000001" customHeight="1" x14ac:dyDescent="0.25">
      <c r="A11" s="4"/>
      <c r="B11" s="5"/>
      <c r="C11" s="40"/>
      <c r="D11" s="48" t="s">
        <v>29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5"/>
      <c r="P11" s="5"/>
      <c r="Q11" s="5"/>
      <c r="R11" s="5"/>
      <c r="S11" s="5"/>
      <c r="T11" s="6"/>
    </row>
    <row r="12" spans="1:20" ht="20.100000000000001" customHeight="1" x14ac:dyDescent="0.25">
      <c r="A12" s="4"/>
      <c r="B12" s="5"/>
      <c r="C12" s="40"/>
      <c r="D12" s="44" t="s">
        <v>4</v>
      </c>
      <c r="E12" s="36">
        <f>'Biapoiada 1'!C11</f>
        <v>12</v>
      </c>
      <c r="F12" s="41" t="s">
        <v>6</v>
      </c>
      <c r="G12" s="41"/>
      <c r="H12" s="41"/>
      <c r="I12" s="41"/>
      <c r="J12" s="41"/>
      <c r="K12" s="41"/>
      <c r="L12" s="41"/>
      <c r="M12" s="41"/>
      <c r="N12" s="42"/>
      <c r="O12" s="5"/>
      <c r="P12" s="5"/>
      <c r="Q12" s="5"/>
      <c r="R12" s="5"/>
      <c r="S12" s="5"/>
      <c r="T12" s="6"/>
    </row>
    <row r="13" spans="1:20" ht="20.100000000000001" customHeight="1" x14ac:dyDescent="0.25">
      <c r="A13" s="4"/>
      <c r="B13" s="5"/>
      <c r="C13" s="40"/>
      <c r="D13" s="44" t="s">
        <v>3</v>
      </c>
      <c r="E13" s="36">
        <f>'Biapoiada 1'!C10</f>
        <v>30</v>
      </c>
      <c r="F13" s="41" t="s">
        <v>6</v>
      </c>
      <c r="G13" s="41"/>
      <c r="H13" s="41"/>
      <c r="I13" s="41"/>
      <c r="J13" s="41"/>
      <c r="K13" s="41"/>
      <c r="L13" s="41"/>
      <c r="M13" s="41"/>
      <c r="N13" s="42"/>
      <c r="O13" s="5"/>
      <c r="P13" s="5"/>
      <c r="Q13" s="5"/>
      <c r="R13" s="5"/>
      <c r="S13" s="5"/>
      <c r="T13" s="6"/>
    </row>
    <row r="14" spans="1:20" ht="20.100000000000001" customHeight="1" x14ac:dyDescent="0.25">
      <c r="A14" s="4"/>
      <c r="B14" s="5"/>
      <c r="C14" s="40"/>
      <c r="D14" s="44" t="s">
        <v>22</v>
      </c>
      <c r="E14" s="36">
        <f>'Biapoiada 2'!D28</f>
        <v>3</v>
      </c>
      <c r="F14" s="41" t="s">
        <v>6</v>
      </c>
      <c r="G14" s="41"/>
      <c r="H14" s="41"/>
      <c r="I14" s="41"/>
      <c r="J14" s="35"/>
      <c r="K14" s="35"/>
      <c r="L14" s="35"/>
      <c r="M14" s="41"/>
      <c r="N14" s="42"/>
      <c r="O14" s="5"/>
      <c r="P14" s="5"/>
      <c r="Q14" s="5"/>
      <c r="R14" s="5"/>
      <c r="S14" s="5"/>
      <c r="T14" s="6"/>
    </row>
    <row r="15" spans="1:20" ht="20.100000000000001" customHeight="1" x14ac:dyDescent="0.25">
      <c r="A15" s="4"/>
      <c r="B15" s="5"/>
      <c r="C15" s="40"/>
      <c r="D15" s="44" t="s">
        <v>5</v>
      </c>
      <c r="E15" s="36">
        <f>'Biapoiada 1'!C12</f>
        <v>3</v>
      </c>
      <c r="F15" s="41" t="s">
        <v>7</v>
      </c>
      <c r="G15" s="41"/>
      <c r="H15" s="41"/>
      <c r="I15" s="41"/>
      <c r="J15" s="35"/>
      <c r="K15" s="35"/>
      <c r="L15" s="35"/>
      <c r="M15" s="41"/>
      <c r="N15" s="42"/>
      <c r="O15" s="5"/>
      <c r="P15" s="5"/>
      <c r="Q15" s="5"/>
      <c r="R15" s="5"/>
      <c r="S15" s="5"/>
      <c r="T15" s="6"/>
    </row>
    <row r="16" spans="1:20" ht="20.100000000000001" customHeight="1" x14ac:dyDescent="0.25">
      <c r="A16" s="4"/>
      <c r="B16" s="5"/>
      <c r="C16" s="40"/>
      <c r="D16" s="35"/>
      <c r="E16" s="35"/>
      <c r="F16" s="35"/>
      <c r="G16" s="41"/>
      <c r="H16" s="41"/>
      <c r="I16" s="41"/>
      <c r="J16" s="35"/>
      <c r="K16" s="35"/>
      <c r="L16" s="35"/>
      <c r="M16" s="41"/>
      <c r="N16" s="42"/>
      <c r="O16" s="5"/>
      <c r="P16" s="5"/>
      <c r="Q16" s="5"/>
      <c r="R16" s="5"/>
      <c r="S16" s="5"/>
      <c r="T16" s="6"/>
    </row>
    <row r="17" spans="1:27" ht="20.100000000000001" customHeight="1" x14ac:dyDescent="0.25">
      <c r="A17" s="4"/>
      <c r="B17" s="5"/>
      <c r="C17" s="40"/>
      <c r="D17" s="53" t="s">
        <v>30</v>
      </c>
      <c r="E17" s="35"/>
      <c r="F17" s="35"/>
      <c r="G17" s="41"/>
      <c r="H17" s="41"/>
      <c r="I17" s="41"/>
      <c r="J17" s="35"/>
      <c r="K17" s="35"/>
      <c r="L17" s="35"/>
      <c r="M17" s="41"/>
      <c r="N17" s="42"/>
      <c r="O17" s="5"/>
      <c r="P17" s="5"/>
      <c r="Q17" s="5"/>
      <c r="R17" s="5"/>
      <c r="S17" s="5"/>
      <c r="T17" s="6"/>
    </row>
    <row r="18" spans="1:27" ht="20.100000000000001" customHeight="1" x14ac:dyDescent="0.25">
      <c r="A18" s="4"/>
      <c r="B18" s="5"/>
      <c r="C18" s="52"/>
      <c r="D18" s="35" t="s">
        <v>33</v>
      </c>
      <c r="E18" s="35"/>
      <c r="F18" s="35"/>
      <c r="G18" s="35" t="str">
        <f>CONCATENATE('Biapoiada 2'!D33," MPA")</f>
        <v>20 MPA</v>
      </c>
      <c r="H18" s="41"/>
      <c r="I18" s="41"/>
      <c r="J18" s="35"/>
      <c r="K18" s="35"/>
      <c r="L18" s="35"/>
      <c r="M18" s="41"/>
      <c r="N18" s="42"/>
      <c r="O18" s="5"/>
      <c r="P18" s="5"/>
      <c r="Q18" s="5"/>
      <c r="R18" s="5"/>
      <c r="S18" s="5"/>
      <c r="T18" s="6"/>
    </row>
    <row r="19" spans="1:27" ht="20.100000000000001" customHeight="1" x14ac:dyDescent="0.25">
      <c r="A19" s="4"/>
      <c r="B19" s="5"/>
      <c r="C19" s="40"/>
      <c r="D19" s="35" t="s">
        <v>34</v>
      </c>
      <c r="E19" s="35"/>
      <c r="F19" s="35"/>
      <c r="G19" s="41" t="str">
        <f>IF('Biapoiada 2'!D29=5,"CA-60","CA-50")</f>
        <v>CA-50</v>
      </c>
      <c r="H19" s="41"/>
      <c r="I19" s="41"/>
      <c r="J19" s="35"/>
      <c r="K19" s="35"/>
      <c r="L19" s="35"/>
      <c r="M19" s="41"/>
      <c r="N19" s="42"/>
      <c r="O19" s="5"/>
      <c r="P19" s="5"/>
      <c r="Q19" s="5"/>
      <c r="R19" s="5"/>
      <c r="S19" s="5"/>
      <c r="T19" s="6"/>
    </row>
    <row r="20" spans="1:27" ht="20.100000000000001" customHeight="1" x14ac:dyDescent="0.25">
      <c r="A20" s="4"/>
      <c r="B20" s="5"/>
      <c r="C20" s="40"/>
      <c r="D20" s="35" t="s">
        <v>35</v>
      </c>
      <c r="E20" s="35"/>
      <c r="F20" s="35"/>
      <c r="G20" s="41" t="str">
        <f>IF('Biapoiada 2'!D30=5,"CA-60","CA-50")</f>
        <v>CA-60</v>
      </c>
      <c r="H20" s="41"/>
      <c r="I20" s="41"/>
      <c r="J20" s="41"/>
      <c r="K20" s="41"/>
      <c r="L20" s="41"/>
      <c r="M20" s="41"/>
      <c r="N20" s="42"/>
      <c r="O20" s="5"/>
      <c r="P20" s="44" t="s">
        <v>21</v>
      </c>
      <c r="Q20" s="45">
        <f>(E13-E14-(('Biapoiada 2'!D29/2)/10))</f>
        <v>26.5</v>
      </c>
      <c r="R20" s="41" t="s">
        <v>6</v>
      </c>
      <c r="S20" s="5"/>
      <c r="T20" s="6"/>
      <c r="V20" s="95" t="s">
        <v>61</v>
      </c>
      <c r="W20" s="95"/>
      <c r="X20" s="95"/>
      <c r="Y20" s="95"/>
      <c r="Z20" s="95"/>
      <c r="AA20" s="95"/>
    </row>
    <row r="21" spans="1:27" ht="20.100000000000001" customHeight="1" x14ac:dyDescent="0.25">
      <c r="A21" s="4"/>
      <c r="B21" s="5"/>
      <c r="C21" s="40"/>
      <c r="D21" s="35"/>
      <c r="E21" s="35"/>
      <c r="F21" s="35"/>
      <c r="G21" s="35"/>
      <c r="H21" s="41"/>
      <c r="I21" s="41"/>
      <c r="J21" s="41"/>
      <c r="K21" s="41"/>
      <c r="L21" s="41"/>
      <c r="M21" s="41"/>
      <c r="N21" s="42"/>
      <c r="O21" s="5"/>
      <c r="P21" s="97" t="s">
        <v>122</v>
      </c>
      <c r="Q21" s="98"/>
      <c r="R21" s="99"/>
      <c r="S21" s="5"/>
      <c r="T21" s="6"/>
      <c r="V21" s="61" t="s">
        <v>62</v>
      </c>
      <c r="W21" s="61"/>
      <c r="X21" s="61" t="s">
        <v>65</v>
      </c>
      <c r="Y21" s="61" t="s">
        <v>66</v>
      </c>
      <c r="Z21" s="61" t="s">
        <v>67</v>
      </c>
      <c r="AA21" s="61" t="s">
        <v>69</v>
      </c>
    </row>
    <row r="22" spans="1:27" ht="20.100000000000001" customHeight="1" x14ac:dyDescent="0.25">
      <c r="A22" s="4"/>
      <c r="B22" s="5"/>
      <c r="C22" s="40"/>
      <c r="D22" s="57" t="s">
        <v>53</v>
      </c>
      <c r="E22" s="35"/>
      <c r="F22" s="35"/>
      <c r="G22" s="41"/>
      <c r="H22" s="41"/>
      <c r="I22" s="41"/>
      <c r="J22" s="41"/>
      <c r="K22" s="41"/>
      <c r="L22" s="41"/>
      <c r="M22" s="41"/>
      <c r="N22" s="42"/>
      <c r="O22" s="5"/>
      <c r="P22" s="2" t="s">
        <v>123</v>
      </c>
      <c r="Q22" s="3"/>
      <c r="R22" s="10">
        <f>E12</f>
        <v>12</v>
      </c>
      <c r="S22" s="5" t="s">
        <v>6</v>
      </c>
      <c r="T22" s="6"/>
      <c r="V22" s="61" t="s">
        <v>63</v>
      </c>
      <c r="W22" s="62">
        <f>('Biapoiada 2'!D23*'Biapoiada 1'!C12)/2</f>
        <v>22.799999999999997</v>
      </c>
      <c r="X22" s="61">
        <v>0</v>
      </c>
      <c r="Y22" s="61">
        <f>'Biapoiada 1'!$C$12*X22</f>
        <v>0</v>
      </c>
      <c r="Z22" s="62">
        <f>$W$22-Y22*'Biapoiada 2'!D23</f>
        <v>22.799999999999997</v>
      </c>
      <c r="AA22" s="62">
        <f>$W$22*Y22-('Biapoiada 2'!$D$23*'Biapoiada 3'!Y22*('Biapoiada 3'!Y22/2))</f>
        <v>0</v>
      </c>
    </row>
    <row r="23" spans="1:27" ht="20.100000000000001" customHeight="1" x14ac:dyDescent="0.25">
      <c r="A23" s="4"/>
      <c r="B23" s="5"/>
      <c r="C23" s="40"/>
      <c r="D23" s="58" t="s">
        <v>54</v>
      </c>
      <c r="E23" s="35"/>
      <c r="F23" s="35"/>
      <c r="G23" s="41"/>
      <c r="H23" s="41"/>
      <c r="I23" s="41"/>
      <c r="J23" s="41"/>
      <c r="K23" s="41"/>
      <c r="L23" s="41"/>
      <c r="M23" s="41"/>
      <c r="N23" s="42"/>
      <c r="O23" s="5"/>
      <c r="P23" s="4" t="s">
        <v>124</v>
      </c>
      <c r="Q23" s="5"/>
      <c r="R23" s="10">
        <f>E13</f>
        <v>30</v>
      </c>
      <c r="S23" s="5" t="s">
        <v>6</v>
      </c>
      <c r="T23" s="6"/>
      <c r="V23" s="61" t="s">
        <v>64</v>
      </c>
      <c r="W23" s="62">
        <f>('Biapoiada 2'!D23*'Biapoiada 1'!C12)/2</f>
        <v>22.799999999999997</v>
      </c>
      <c r="X23" s="61">
        <v>0.1</v>
      </c>
      <c r="Y23" s="61">
        <f>'Biapoiada 1'!$C$12*X23</f>
        <v>0.30000000000000004</v>
      </c>
      <c r="Z23" s="62">
        <f>$W$22-Y23*'Biapoiada 2'!D23</f>
        <v>18.239999999999995</v>
      </c>
      <c r="AA23" s="62">
        <f>$W$22*Y23-('Biapoiada 2'!$D$23*'Biapoiada 3'!Y23*('Biapoiada 3'!Y23/2))</f>
        <v>6.1559999999999997</v>
      </c>
    </row>
    <row r="24" spans="1:27" ht="20.100000000000001" customHeight="1" x14ac:dyDescent="0.25">
      <c r="A24" s="4"/>
      <c r="B24" s="5"/>
      <c r="C24" s="40"/>
      <c r="D24" s="41"/>
      <c r="E24" s="44" t="str">
        <f>CONCATENATE("b ",'Biapoiada 1'!C11,IF('Biapoiada 1'!C11&gt;=10," ≥ "," &lt; "),10)</f>
        <v>b 12 ≥ 10</v>
      </c>
      <c r="F24" s="70">
        <f>'Biapoiada 1'!C11</f>
        <v>12</v>
      </c>
      <c r="G24" s="41" t="s">
        <v>56</v>
      </c>
      <c r="H24" s="41"/>
      <c r="I24" s="41"/>
      <c r="J24" s="41"/>
      <c r="K24" s="41"/>
      <c r="L24" s="41"/>
      <c r="M24" s="41"/>
      <c r="N24" s="42"/>
      <c r="O24" s="5"/>
      <c r="P24" s="4" t="s">
        <v>126</v>
      </c>
      <c r="Q24" s="5"/>
      <c r="R24" s="10">
        <f>'Biapoiada 2'!D29/10</f>
        <v>1</v>
      </c>
      <c r="S24" s="5" t="s">
        <v>6</v>
      </c>
      <c r="T24" s="6"/>
      <c r="V24" s="61"/>
      <c r="W24" s="61"/>
      <c r="X24" s="61">
        <v>0.2</v>
      </c>
      <c r="Y24" s="61">
        <f>'Biapoiada 1'!$C$12*X24</f>
        <v>0.60000000000000009</v>
      </c>
      <c r="Z24" s="62">
        <f>$W$22-Y24*'Biapoiada 2'!D23</f>
        <v>13.679999999999996</v>
      </c>
      <c r="AA24" s="62">
        <f>$W$22*Y24-('Biapoiada 2'!$D$23*'Biapoiada 3'!Y24*('Biapoiada 3'!Y24/2))</f>
        <v>10.943999999999999</v>
      </c>
    </row>
    <row r="25" spans="1:27" ht="20.100000000000001" customHeight="1" x14ac:dyDescent="0.25">
      <c r="A25" s="4"/>
      <c r="B25" s="5"/>
      <c r="C25" s="40"/>
      <c r="D25" s="58" t="s">
        <v>57</v>
      </c>
      <c r="E25" s="35"/>
      <c r="F25" s="35"/>
      <c r="G25" s="41"/>
      <c r="H25" s="41"/>
      <c r="I25" s="41"/>
      <c r="J25" s="41"/>
      <c r="K25" s="41"/>
      <c r="L25" s="41"/>
      <c r="M25" s="41"/>
      <c r="N25" s="42"/>
      <c r="O25" s="5"/>
      <c r="P25" s="4" t="s">
        <v>127</v>
      </c>
      <c r="Q25" s="5"/>
      <c r="R25" s="10">
        <f>'Biapoiada 2'!D30/10</f>
        <v>0.5</v>
      </c>
      <c r="S25" s="5" t="s">
        <v>6</v>
      </c>
      <c r="T25" s="6"/>
      <c r="V25" s="61"/>
      <c r="W25" s="61"/>
      <c r="X25" s="61">
        <v>0.3</v>
      </c>
      <c r="Y25" s="61">
        <f>'Biapoiada 1'!$C$12*X25</f>
        <v>0.89999999999999991</v>
      </c>
      <c r="Z25" s="62">
        <f>$W$22-Y25*'Biapoiada 2'!D23</f>
        <v>9.1199999999999992</v>
      </c>
      <c r="AA25" s="62">
        <f>$W$22*Y25-('Biapoiada 2'!$D$23*'Biapoiada 3'!Y25*('Biapoiada 3'!Y25/2))</f>
        <v>14.363999999999997</v>
      </c>
    </row>
    <row r="26" spans="1:27" ht="20.100000000000001" customHeight="1" x14ac:dyDescent="0.25">
      <c r="A26" s="4"/>
      <c r="B26" s="5"/>
      <c r="C26" s="40"/>
      <c r="D26" s="35"/>
      <c r="E26" s="59" t="str">
        <f>CONCATENATE('Biapoiada 2'!D30,IF('Biapoiada 2'!D30&gt;=5," ≥ "," &lt; "),5)</f>
        <v>5 ≥ 5</v>
      </c>
      <c r="F26" s="71">
        <f>'Biapoiada 2'!D30</f>
        <v>5</v>
      </c>
      <c r="G26" s="41" t="s">
        <v>58</v>
      </c>
      <c r="H26" s="41"/>
      <c r="I26" s="41"/>
      <c r="J26" s="41"/>
      <c r="K26" s="41"/>
      <c r="L26" s="41"/>
      <c r="M26" s="41"/>
      <c r="N26" s="42"/>
      <c r="O26" s="5"/>
      <c r="P26" s="4" t="s">
        <v>132</v>
      </c>
      <c r="Q26" s="5"/>
      <c r="R26" s="81">
        <f>F37</f>
        <v>1.6345692995280365</v>
      </c>
      <c r="S26" s="5" t="s">
        <v>76</v>
      </c>
      <c r="T26" s="6"/>
      <c r="V26" s="61" t="s">
        <v>68</v>
      </c>
      <c r="W26" s="61">
        <v>0</v>
      </c>
      <c r="X26" s="61">
        <v>0.4</v>
      </c>
      <c r="Y26" s="61">
        <f>'Biapoiada 1'!$C$12*X26</f>
        <v>1.2000000000000002</v>
      </c>
      <c r="Z26" s="62">
        <f>$W$22-Y26*'Biapoiada 2'!D23</f>
        <v>4.5599999999999952</v>
      </c>
      <c r="AA26" s="62">
        <f>$W$22*Y26-('Biapoiada 2'!$D$23*'Biapoiada 3'!Y26*('Biapoiada 3'!Y26/2))</f>
        <v>16.415999999999997</v>
      </c>
    </row>
    <row r="27" spans="1:27" ht="20.100000000000001" customHeight="1" x14ac:dyDescent="0.25">
      <c r="A27" s="4"/>
      <c r="B27" s="5"/>
      <c r="C27" s="40"/>
      <c r="D27" s="35"/>
      <c r="E27" s="35"/>
      <c r="F27" s="35"/>
      <c r="G27" s="41"/>
      <c r="H27" s="41"/>
      <c r="I27" s="41"/>
      <c r="J27" s="41"/>
      <c r="K27" s="41"/>
      <c r="L27" s="41"/>
      <c r="M27" s="41"/>
      <c r="N27" s="42"/>
      <c r="O27" s="5"/>
      <c r="P27" s="76" t="s">
        <v>125</v>
      </c>
      <c r="Q27" s="5"/>
      <c r="R27" s="82">
        <f>ROUNDUP((F37/((PI()*(('Biapoiada 2'!D29/10)^2))/4)),0.1)</f>
        <v>3</v>
      </c>
      <c r="S27" s="5" t="s">
        <v>128</v>
      </c>
      <c r="T27" s="6"/>
      <c r="V27" s="61"/>
      <c r="W27" s="61"/>
      <c r="X27" s="61">
        <v>0.5</v>
      </c>
      <c r="Y27" s="61">
        <f>'Biapoiada 1'!$C$12*X27</f>
        <v>1.5</v>
      </c>
      <c r="Z27" s="62">
        <f>$W$22-Y27*'Biapoiada 2'!D23</f>
        <v>0</v>
      </c>
      <c r="AA27" s="62">
        <f>$W$22*Y27-('Biapoiada 2'!$D$23*'Biapoiada 3'!Y27*('Biapoiada 3'!Y27/2))</f>
        <v>17.099999999999998</v>
      </c>
    </row>
    <row r="28" spans="1:27" ht="20.100000000000001" customHeight="1" x14ac:dyDescent="0.25">
      <c r="A28" s="4"/>
      <c r="B28" s="5"/>
      <c r="C28" s="40"/>
      <c r="D28" s="48" t="s">
        <v>70</v>
      </c>
      <c r="E28" s="41"/>
      <c r="F28" s="41"/>
      <c r="G28" s="41"/>
      <c r="H28" s="41"/>
      <c r="I28" s="41"/>
      <c r="J28" s="35"/>
      <c r="K28" s="35"/>
      <c r="L28" s="35"/>
      <c r="M28" s="41"/>
      <c r="N28" s="42"/>
      <c r="O28" s="5"/>
      <c r="P28" s="4" t="s">
        <v>115</v>
      </c>
      <c r="Q28" s="5"/>
      <c r="R28" s="10">
        <f>P48</f>
        <v>2.2799999999999998</v>
      </c>
      <c r="S28" s="5" t="s">
        <v>6</v>
      </c>
      <c r="T28" s="6"/>
      <c r="V28" s="61"/>
      <c r="W28" s="61"/>
      <c r="X28" s="61">
        <v>0.6</v>
      </c>
      <c r="Y28" s="61">
        <f>'Biapoiada 1'!$C$12*X28</f>
        <v>1.7999999999999998</v>
      </c>
      <c r="Z28" s="62">
        <f>$W$22-Y28*'Biapoiada 2'!D23</f>
        <v>-4.5599999999999987</v>
      </c>
      <c r="AA28" s="62">
        <f>$W$22*Y28-('Biapoiada 2'!$D$23*'Biapoiada 3'!Y28*('Biapoiada 3'!Y28/2))</f>
        <v>16.415999999999997</v>
      </c>
    </row>
    <row r="29" spans="1:27" ht="20.100000000000001" customHeight="1" x14ac:dyDescent="0.25">
      <c r="A29" s="4"/>
      <c r="B29" s="5"/>
      <c r="C29" s="40"/>
      <c r="D29" s="43" t="s">
        <v>59</v>
      </c>
      <c r="E29" s="41"/>
      <c r="F29" s="41"/>
      <c r="G29" s="41"/>
      <c r="H29" s="41"/>
      <c r="I29" s="96"/>
      <c r="J29" s="96"/>
      <c r="K29" s="96"/>
      <c r="L29" s="96"/>
      <c r="M29" s="41"/>
      <c r="N29" s="42"/>
      <c r="O29" s="5"/>
      <c r="P29" s="4" t="s">
        <v>116</v>
      </c>
      <c r="Q29" s="5"/>
      <c r="R29" s="10">
        <f>Q48</f>
        <v>2</v>
      </c>
      <c r="S29" s="5" t="s">
        <v>6</v>
      </c>
      <c r="T29" s="6"/>
      <c r="V29" s="61"/>
      <c r="W29" s="61"/>
      <c r="X29" s="61">
        <v>0.7</v>
      </c>
      <c r="Y29" s="61">
        <f>'Biapoiada 1'!$C$12*X29</f>
        <v>2.0999999999999996</v>
      </c>
      <c r="Z29" s="62">
        <f>$W$22-Y29*'Biapoiada 2'!D23</f>
        <v>-9.1199999999999974</v>
      </c>
      <c r="AA29" s="62">
        <f>$W$22*Y29-('Biapoiada 2'!$D$23*'Biapoiada 3'!Y29*('Biapoiada 3'!Y29/2))</f>
        <v>14.363999999999997</v>
      </c>
    </row>
    <row r="30" spans="1:27" ht="20.100000000000001" customHeight="1" x14ac:dyDescent="0.25">
      <c r="A30" s="4"/>
      <c r="B30" s="5"/>
      <c r="C30" s="40"/>
      <c r="D30" s="44" t="s">
        <v>12</v>
      </c>
      <c r="E30" s="45">
        <f>('Biapoiada 2'!D23*'Biapoiada 1'!C12*'Biapoiada 1'!C12)/8</f>
        <v>17.099999999999998</v>
      </c>
      <c r="F30" s="41" t="s">
        <v>18</v>
      </c>
      <c r="G30" s="41"/>
      <c r="H30" s="41"/>
      <c r="I30" s="41"/>
      <c r="J30" s="41"/>
      <c r="K30" s="41"/>
      <c r="L30" s="41"/>
      <c r="M30" s="41"/>
      <c r="N30" s="42"/>
      <c r="O30" s="5"/>
      <c r="P30" s="4" t="s">
        <v>129</v>
      </c>
      <c r="Q30" s="5"/>
      <c r="R30" s="80">
        <f>Q20</f>
        <v>26.5</v>
      </c>
      <c r="S30" s="5" t="s">
        <v>6</v>
      </c>
      <c r="T30" s="6"/>
      <c r="V30" s="61"/>
      <c r="W30" s="61"/>
      <c r="X30" s="61">
        <v>0.8</v>
      </c>
      <c r="Y30" s="61">
        <f>'Biapoiada 1'!$C$12*X30</f>
        <v>2.4000000000000004</v>
      </c>
      <c r="Z30" s="62">
        <f>$W$22-Y30*'Biapoiada 2'!D23</f>
        <v>-13.680000000000007</v>
      </c>
      <c r="AA30" s="62">
        <f>$W$22*Y30-('Biapoiada 2'!$D$23*'Biapoiada 3'!Y30*('Biapoiada 3'!Y30/2))</f>
        <v>10.943999999999988</v>
      </c>
    </row>
    <row r="31" spans="1:27" ht="20.100000000000001" customHeight="1" x14ac:dyDescent="0.25">
      <c r="A31" s="4"/>
      <c r="B31" s="5"/>
      <c r="C31" s="40"/>
      <c r="D31" s="46"/>
      <c r="E31" s="47"/>
      <c r="F31" s="41"/>
      <c r="G31" s="41"/>
      <c r="H31" s="41"/>
      <c r="I31" s="41"/>
      <c r="J31" s="41"/>
      <c r="K31" s="41"/>
      <c r="L31" s="41"/>
      <c r="M31" s="41"/>
      <c r="N31" s="42"/>
      <c r="O31" s="5"/>
      <c r="P31" s="4" t="s">
        <v>130</v>
      </c>
      <c r="Q31" s="5"/>
      <c r="R31" s="10"/>
      <c r="S31" s="5"/>
      <c r="T31" s="6"/>
      <c r="V31" s="61"/>
      <c r="W31" s="61"/>
      <c r="X31" s="61">
        <v>0.9</v>
      </c>
      <c r="Y31" s="61">
        <f>'Biapoiada 1'!$C$12*X31</f>
        <v>2.7</v>
      </c>
      <c r="Z31" s="62">
        <f>$W$22-Y31*'Biapoiada 2'!D23</f>
        <v>-18.240000000000002</v>
      </c>
      <c r="AA31" s="62">
        <f>$W$22*Y31-('Biapoiada 2'!$D$23*'Biapoiada 3'!Y31*('Biapoiada 3'!Y31/2))</f>
        <v>6.1559999999999917</v>
      </c>
    </row>
    <row r="32" spans="1:27" ht="20.100000000000001" customHeight="1" x14ac:dyDescent="0.25">
      <c r="A32" s="4"/>
      <c r="B32" s="5"/>
      <c r="C32" s="40"/>
      <c r="D32" s="43" t="s">
        <v>60</v>
      </c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5"/>
      <c r="P32" s="7" t="s">
        <v>131</v>
      </c>
      <c r="Q32" s="8"/>
      <c r="R32" s="9"/>
      <c r="S32" s="5"/>
      <c r="T32" s="6"/>
      <c r="V32" s="61"/>
      <c r="W32" s="61"/>
      <c r="X32" s="61">
        <v>1</v>
      </c>
      <c r="Y32" s="61">
        <f>'Biapoiada 1'!$C$12*X32</f>
        <v>3</v>
      </c>
      <c r="Z32" s="62">
        <f>$W$22-Y32*'Biapoiada 2'!D23</f>
        <v>-22.799999999999997</v>
      </c>
      <c r="AA32" s="62">
        <f>$W$22*Y32-('Biapoiada 2'!$D$23*'Biapoiada 3'!Y32*('Biapoiada 3'!Y32/2))</f>
        <v>0</v>
      </c>
    </row>
    <row r="33" spans="1:23" ht="20.100000000000001" customHeight="1" x14ac:dyDescent="0.25">
      <c r="A33" s="4"/>
      <c r="B33" s="5"/>
      <c r="C33" s="40"/>
      <c r="D33" s="44" t="s">
        <v>15</v>
      </c>
      <c r="E33" s="45">
        <f>('Biapoiada 2'!D23*'Biapoiada 1'!C12)/2</f>
        <v>22.799999999999997</v>
      </c>
      <c r="F33" s="43" t="s">
        <v>16</v>
      </c>
      <c r="G33" s="41"/>
      <c r="H33" s="41"/>
      <c r="I33" s="41"/>
      <c r="J33" s="41"/>
      <c r="K33" s="41"/>
      <c r="L33" s="41"/>
      <c r="M33" s="41"/>
      <c r="N33" s="42"/>
      <c r="O33" s="5"/>
      <c r="P33" s="5"/>
      <c r="Q33" s="5"/>
      <c r="R33" s="5"/>
      <c r="S33" s="5"/>
      <c r="T33" s="6"/>
    </row>
    <row r="34" spans="1:23" ht="20.100000000000001" customHeight="1" x14ac:dyDescent="0.25">
      <c r="A34" s="4"/>
      <c r="B34" s="5"/>
      <c r="C34" s="40"/>
      <c r="D34" s="35"/>
      <c r="E34" s="35"/>
      <c r="F34" s="35"/>
      <c r="G34" s="35"/>
      <c r="H34" s="35"/>
      <c r="I34" s="35"/>
      <c r="J34" s="41"/>
      <c r="K34" s="41"/>
      <c r="L34" s="41"/>
      <c r="M34" s="41"/>
      <c r="N34" s="42"/>
      <c r="O34" s="5"/>
      <c r="P34" s="5"/>
      <c r="Q34" s="5"/>
      <c r="R34" s="5"/>
      <c r="S34" s="5"/>
      <c r="T34" s="6"/>
    </row>
    <row r="35" spans="1:23" ht="20.100000000000001" customHeight="1" x14ac:dyDescent="0.25">
      <c r="A35" s="4"/>
      <c r="B35" s="5"/>
      <c r="C35" s="40"/>
      <c r="D35" s="35" t="s">
        <v>87</v>
      </c>
      <c r="E35" s="35"/>
      <c r="F35" s="35"/>
      <c r="G35" s="35"/>
      <c r="H35" s="41"/>
      <c r="I35" s="41"/>
      <c r="J35" s="41"/>
      <c r="K35" s="41"/>
      <c r="L35" s="41"/>
      <c r="M35" s="41"/>
      <c r="N35" s="42"/>
      <c r="O35" s="5"/>
      <c r="P35" s="5" t="s">
        <v>66</v>
      </c>
      <c r="Q35" s="63">
        <f>1.25*Q20*(1-SQRT(1-((E30*100)/(0.425*(Q20^2)*(('Biapoiada 2'!D33/10)/1.4)*('Biapoiada 1'!C11)))))</f>
        <v>6.0965393737725178</v>
      </c>
      <c r="R35" s="5"/>
      <c r="S35" s="5"/>
      <c r="T35" s="6"/>
    </row>
    <row r="36" spans="1:23" ht="20.100000000000001" customHeight="1" x14ac:dyDescent="0.25">
      <c r="A36" s="4"/>
      <c r="B36" s="5"/>
      <c r="C36" s="40"/>
      <c r="D36" s="35"/>
      <c r="E36" s="35" t="s">
        <v>88</v>
      </c>
      <c r="F36" s="35"/>
      <c r="G36" s="35"/>
      <c r="H36" s="41"/>
      <c r="I36" s="41"/>
      <c r="J36" s="41"/>
      <c r="K36" s="41"/>
      <c r="L36" s="41"/>
      <c r="M36" s="41"/>
      <c r="N36" s="42"/>
      <c r="O36" s="5"/>
      <c r="P36" s="5"/>
      <c r="Q36" s="63"/>
      <c r="R36" s="5"/>
      <c r="S36" s="5"/>
      <c r="T36" s="6"/>
      <c r="U36" s="4" t="s">
        <v>118</v>
      </c>
      <c r="V36" s="5"/>
      <c r="W36" s="10">
        <f>((2*'Biapoiada 2'!D28)+(2*('Biapoiada 2'!D30/10))+(R27*('Biapoiada 2'!D29/10))+((R27-1)*R28))</f>
        <v>14.559999999999999</v>
      </c>
    </row>
    <row r="37" spans="1:23" ht="20.100000000000001" customHeight="1" x14ac:dyDescent="0.25">
      <c r="A37" s="4"/>
      <c r="B37" s="5"/>
      <c r="C37" s="40"/>
      <c r="E37" s="66" t="s">
        <v>75</v>
      </c>
      <c r="F37" s="65">
        <f>(E30*100)/(Q37*(50/1.15))</f>
        <v>1.6345692995280365</v>
      </c>
      <c r="G37" s="67" t="s">
        <v>76</v>
      </c>
      <c r="H37" s="41"/>
      <c r="I37" s="41"/>
      <c r="J37" s="41"/>
      <c r="K37" s="41"/>
      <c r="L37" s="41"/>
      <c r="M37" s="41"/>
      <c r="N37" s="42"/>
      <c r="O37" s="5"/>
      <c r="P37" s="5" t="s">
        <v>71</v>
      </c>
      <c r="Q37" s="64">
        <f>Q20-0.4*Q35</f>
        <v>24.061384250490992</v>
      </c>
      <c r="R37" s="5"/>
      <c r="S37" s="5"/>
      <c r="T37" s="6"/>
      <c r="U37" s="4" t="s">
        <v>114</v>
      </c>
      <c r="V37" s="5"/>
      <c r="W37" s="6" t="str">
        <f>IF(W36&gt;E12,"Não cabe","Cabe")</f>
        <v>Não cabe</v>
      </c>
    </row>
    <row r="38" spans="1:23" ht="20.100000000000001" customHeight="1" x14ac:dyDescent="0.25">
      <c r="A38" s="4"/>
      <c r="B38" s="5"/>
      <c r="C38" s="40"/>
      <c r="D38" s="35"/>
      <c r="E38" s="35"/>
      <c r="F38" s="35"/>
      <c r="G38" s="35"/>
      <c r="H38" s="41"/>
      <c r="I38" s="41"/>
      <c r="J38" s="41"/>
      <c r="K38" s="41"/>
      <c r="L38" s="41"/>
      <c r="M38" s="41"/>
      <c r="N38" s="42"/>
      <c r="O38" s="5"/>
      <c r="P38" s="5" t="s">
        <v>74</v>
      </c>
      <c r="Q38" s="5"/>
      <c r="R38" s="5"/>
      <c r="S38" s="5"/>
      <c r="T38" s="6"/>
      <c r="U38" s="4" t="s">
        <v>119</v>
      </c>
      <c r="V38" s="5"/>
      <c r="W38" s="10">
        <f>ROUNDDOWN(((E12-2*'Biapoiada 2'!D28-2*('Biapoiada 2'!D30/10)+'Biapoiada 3'!R28)/(('Biapoiada 2'!D29/10)+'Biapoiada 3'!R28)),0.1)</f>
        <v>2</v>
      </c>
    </row>
    <row r="39" spans="1:23" ht="20.100000000000001" customHeight="1" x14ac:dyDescent="0.25">
      <c r="A39" s="4"/>
      <c r="B39" s="5"/>
      <c r="C39" s="40"/>
      <c r="D39" s="35"/>
      <c r="E39" s="35" t="s">
        <v>89</v>
      </c>
      <c r="F39" s="35"/>
      <c r="G39" s="35"/>
      <c r="H39" s="41"/>
      <c r="I39" s="41"/>
      <c r="J39" s="41"/>
      <c r="K39" s="41"/>
      <c r="L39" s="41"/>
      <c r="M39" s="41"/>
      <c r="N39" s="42"/>
      <c r="O39" s="5"/>
      <c r="P39" s="5" t="s">
        <v>72</v>
      </c>
      <c r="Q39" s="5">
        <f>0.259*Q20</f>
        <v>6.8635000000000002</v>
      </c>
      <c r="R39" s="5"/>
      <c r="S39" s="5"/>
      <c r="T39" s="6"/>
      <c r="U39" s="4" t="s">
        <v>120</v>
      </c>
      <c r="V39" s="5"/>
      <c r="W39" s="10">
        <f>ROUNDUP((R27/W38),0.1)</f>
        <v>2</v>
      </c>
    </row>
    <row r="40" spans="1:23" ht="20.100000000000001" customHeight="1" x14ac:dyDescent="0.25">
      <c r="A40" s="4"/>
      <c r="B40" s="5"/>
      <c r="C40" s="40"/>
      <c r="D40" s="41"/>
      <c r="E40" s="44" t="s">
        <v>78</v>
      </c>
      <c r="F40" s="45">
        <f>(0.8*((('Biapoiada 1'!C11*('Biapoiada 1'!C10^3))/12)/('Biapoiada 1'!C10/2))*((1.3*0.3*('Biapoiada 2'!D33^(2/3)))/10))/100</f>
        <v>4.1379041792728817</v>
      </c>
      <c r="G40" s="41" t="s">
        <v>18</v>
      </c>
      <c r="H40" s="72">
        <f>E30</f>
        <v>17.099999999999998</v>
      </c>
      <c r="I40" s="41"/>
      <c r="J40" s="41"/>
      <c r="K40" s="41"/>
      <c r="L40" s="41"/>
      <c r="M40" s="41"/>
      <c r="N40" s="42"/>
      <c r="O40" s="5"/>
      <c r="P40" s="5" t="s">
        <v>73</v>
      </c>
      <c r="Q40" s="5">
        <f>0.45*Q20</f>
        <v>11.925000000000001</v>
      </c>
      <c r="R40" s="5"/>
      <c r="S40" s="5"/>
      <c r="T40" s="6"/>
    </row>
    <row r="41" spans="1:23" ht="20.100000000000001" customHeight="1" x14ac:dyDescent="0.25">
      <c r="A41" s="4"/>
      <c r="B41" s="5"/>
      <c r="C41" s="40"/>
      <c r="D41" s="41"/>
      <c r="E41" s="44" t="s">
        <v>79</v>
      </c>
      <c r="F41" s="45">
        <f>(F40*100)/(Q37*(50/1.15))</f>
        <v>0.39553749332328714</v>
      </c>
      <c r="G41" s="41" t="s">
        <v>76</v>
      </c>
      <c r="H41" s="41"/>
      <c r="I41" s="41"/>
      <c r="J41" s="41"/>
      <c r="K41" s="41"/>
      <c r="L41" s="41"/>
      <c r="M41" s="41"/>
      <c r="N41" s="42"/>
      <c r="O41" s="5"/>
      <c r="P41" s="5"/>
      <c r="Q41" s="5"/>
      <c r="R41" s="5"/>
      <c r="S41" s="5"/>
      <c r="T41" s="6"/>
    </row>
    <row r="42" spans="1:23" ht="20.100000000000001" customHeight="1" x14ac:dyDescent="0.25">
      <c r="A42" s="4"/>
      <c r="B42" s="5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5"/>
      <c r="P42" s="5" t="s">
        <v>77</v>
      </c>
      <c r="Q42" s="5" t="str">
        <f>IF(Q35&lt;Q39,"Domínio 2",IF(AND(Q35&gt;=Q39,Q35&lt;=Q40),"Domínio 3",IF(Q35&gt;Q40,"x/d &gt; 0,45, fora da norma")))</f>
        <v>Domínio 2</v>
      </c>
      <c r="R42" s="5"/>
      <c r="S42" s="5"/>
      <c r="T42" s="6"/>
    </row>
    <row r="43" spans="1:23" ht="20.100000000000001" customHeight="1" x14ac:dyDescent="0.25">
      <c r="A43" s="4"/>
      <c r="B43" s="5"/>
      <c r="C43" s="40"/>
      <c r="D43" s="41"/>
      <c r="E43" s="41" t="s">
        <v>90</v>
      </c>
      <c r="F43" s="41"/>
      <c r="G43" s="41"/>
      <c r="H43" s="41"/>
      <c r="I43" s="41"/>
      <c r="J43" s="41"/>
      <c r="K43" s="41"/>
      <c r="L43" s="41"/>
      <c r="M43" s="41"/>
      <c r="N43" s="42"/>
      <c r="O43" s="5"/>
      <c r="P43" s="5"/>
      <c r="Q43" s="5"/>
      <c r="R43" s="5"/>
      <c r="S43" s="5"/>
      <c r="T43" s="6"/>
    </row>
    <row r="44" spans="1:23" ht="20.100000000000001" customHeight="1" x14ac:dyDescent="0.3">
      <c r="A44" s="4"/>
      <c r="B44" s="5"/>
      <c r="C44" s="40"/>
      <c r="D44" s="41"/>
      <c r="E44" s="68" t="s">
        <v>80</v>
      </c>
      <c r="F44" s="45">
        <v>0.15</v>
      </c>
      <c r="G44" s="41" t="s">
        <v>55</v>
      </c>
      <c r="H44" s="41"/>
      <c r="I44" s="41"/>
      <c r="J44" s="41"/>
      <c r="K44" s="41"/>
      <c r="L44" s="41"/>
      <c r="M44" s="41"/>
      <c r="N44" s="42"/>
      <c r="O44" s="5"/>
      <c r="P44" s="77" t="s">
        <v>117</v>
      </c>
      <c r="Q44" s="11" t="s">
        <v>116</v>
      </c>
      <c r="R44" s="5"/>
      <c r="S44" s="5"/>
      <c r="T44" s="6"/>
    </row>
    <row r="45" spans="1:23" ht="20.100000000000001" customHeight="1" x14ac:dyDescent="0.25">
      <c r="A45" s="4"/>
      <c r="B45" s="5"/>
      <c r="C45" s="40"/>
      <c r="D45" s="41"/>
      <c r="E45" s="44" t="s">
        <v>81</v>
      </c>
      <c r="F45" s="45">
        <f>(F37/('Biapoiada 1'!C10*'Biapoiada 1'!C11))*100</f>
        <v>0.45404702764667682</v>
      </c>
      <c r="G45" s="41" t="s">
        <v>55</v>
      </c>
      <c r="H45" s="41"/>
      <c r="I45" s="41"/>
      <c r="J45" s="41"/>
      <c r="K45" s="41"/>
      <c r="L45" s="41"/>
      <c r="M45" s="41"/>
      <c r="N45" s="42"/>
      <c r="O45" s="5"/>
      <c r="P45" s="4">
        <v>2</v>
      </c>
      <c r="Q45" s="6">
        <v>2</v>
      </c>
      <c r="R45" s="5"/>
      <c r="S45" s="5"/>
      <c r="T45" s="6"/>
    </row>
    <row r="46" spans="1:23" ht="20.100000000000001" customHeight="1" x14ac:dyDescent="0.25">
      <c r="A46" s="4"/>
      <c r="B46" s="5"/>
      <c r="C46" s="40"/>
      <c r="D46" s="41"/>
      <c r="E46" s="44" t="s">
        <v>82</v>
      </c>
      <c r="F46" s="73">
        <f>F45</f>
        <v>0.45404702764667682</v>
      </c>
      <c r="G46" s="41"/>
      <c r="H46" s="41"/>
      <c r="I46" s="41"/>
      <c r="J46" s="41"/>
      <c r="K46" s="41"/>
      <c r="L46" s="41"/>
      <c r="M46" s="41"/>
      <c r="N46" s="42"/>
      <c r="O46" s="5"/>
      <c r="P46" s="4">
        <f>('Biapoiada 2'!D29/10)</f>
        <v>1</v>
      </c>
      <c r="Q46" s="6">
        <f>('Biapoiada 2'!D29/10)</f>
        <v>1</v>
      </c>
      <c r="R46" s="5"/>
      <c r="S46" s="5"/>
      <c r="T46" s="6"/>
    </row>
    <row r="47" spans="1:23" ht="20.100000000000001" customHeight="1" x14ac:dyDescent="0.25">
      <c r="A47" s="4"/>
      <c r="B47" s="5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5"/>
      <c r="P47" s="4">
        <f>1.2*('Biapoiada 2'!D36/10)</f>
        <v>2.2799999999999998</v>
      </c>
      <c r="Q47" s="6">
        <f>0.5*('Biapoiada 2'!D36/10)</f>
        <v>0.95</v>
      </c>
      <c r="R47" s="5"/>
      <c r="S47" s="5"/>
      <c r="T47" s="6"/>
    </row>
    <row r="48" spans="1:23" ht="20.100000000000001" customHeight="1" x14ac:dyDescent="0.25">
      <c r="A48" s="4"/>
      <c r="B48" s="5"/>
      <c r="C48" s="40"/>
      <c r="D48" s="41"/>
      <c r="E48" s="41" t="s">
        <v>83</v>
      </c>
      <c r="F48" s="41"/>
      <c r="G48" s="41"/>
      <c r="H48" s="41"/>
      <c r="I48" s="41"/>
      <c r="J48" s="41"/>
      <c r="K48" s="41"/>
      <c r="L48" s="41"/>
      <c r="M48" s="41"/>
      <c r="N48" s="42"/>
      <c r="O48" s="5"/>
      <c r="P48" s="78">
        <f>LARGE(P45:P47,1)</f>
        <v>2.2799999999999998</v>
      </c>
      <c r="Q48" s="78">
        <f>LARGE(Q45:Q47,1)</f>
        <v>2</v>
      </c>
      <c r="R48" s="5"/>
      <c r="S48" s="5"/>
      <c r="T48" s="6"/>
    </row>
    <row r="49" spans="1:20" ht="20.100000000000001" customHeight="1" x14ac:dyDescent="0.25">
      <c r="A49" s="4"/>
      <c r="B49" s="5"/>
      <c r="C49" s="40"/>
      <c r="D49" s="41"/>
      <c r="E49" s="44" t="s">
        <v>84</v>
      </c>
      <c r="F49" s="36">
        <f>0.04*('Biapoiada 1'!C10*'Biapoiada 1'!C11)</f>
        <v>14.4</v>
      </c>
      <c r="G49" s="41" t="s">
        <v>76</v>
      </c>
      <c r="H49" s="41"/>
      <c r="I49" s="41"/>
      <c r="J49" s="41"/>
      <c r="K49" s="41"/>
      <c r="L49" s="41"/>
      <c r="M49" s="41"/>
      <c r="N49" s="42"/>
      <c r="O49" s="5"/>
      <c r="P49" s="5"/>
      <c r="Q49" s="5"/>
      <c r="R49" s="5"/>
      <c r="S49" s="5"/>
      <c r="T49" s="6"/>
    </row>
    <row r="50" spans="1:20" ht="20.100000000000001" customHeight="1" x14ac:dyDescent="0.25">
      <c r="A50" s="4"/>
      <c r="B50" s="5"/>
      <c r="C50" s="40"/>
      <c r="D50" s="41"/>
      <c r="E50" s="44" t="s">
        <v>85</v>
      </c>
      <c r="F50" s="45">
        <f>F37</f>
        <v>1.6345692995280365</v>
      </c>
      <c r="G50" s="41" t="s">
        <v>76</v>
      </c>
      <c r="H50" s="41"/>
      <c r="I50" s="41"/>
      <c r="J50" s="41"/>
      <c r="K50" s="41"/>
      <c r="L50" s="41"/>
      <c r="M50" s="41"/>
      <c r="N50" s="42"/>
      <c r="O50" s="5"/>
      <c r="P50" s="5"/>
      <c r="Q50" s="5"/>
      <c r="R50" s="5"/>
      <c r="S50" s="5"/>
      <c r="T50" s="6"/>
    </row>
    <row r="51" spans="1:20" ht="20.100000000000001" customHeight="1" x14ac:dyDescent="0.25">
      <c r="A51" s="4"/>
      <c r="B51" s="5"/>
      <c r="C51" s="40"/>
      <c r="D51" s="41"/>
      <c r="E51" s="44" t="s">
        <v>86</v>
      </c>
      <c r="F51" s="74">
        <f>F49</f>
        <v>14.4</v>
      </c>
      <c r="G51" s="41"/>
      <c r="H51" s="41"/>
      <c r="I51" s="41"/>
      <c r="J51" s="41"/>
      <c r="K51" s="41"/>
      <c r="L51" s="41"/>
      <c r="M51" s="41"/>
      <c r="N51" s="42"/>
      <c r="O51" s="5"/>
      <c r="P51" s="5"/>
      <c r="Q51" s="5"/>
      <c r="R51" s="5"/>
      <c r="S51" s="5"/>
      <c r="T51" s="6"/>
    </row>
    <row r="52" spans="1:20" ht="20.100000000000001" customHeight="1" x14ac:dyDescent="0.25">
      <c r="A52" s="4"/>
      <c r="B52" s="5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/>
      <c r="O52" s="5"/>
      <c r="P52" s="5"/>
      <c r="Q52" s="5"/>
      <c r="R52" s="5"/>
      <c r="S52" s="5"/>
      <c r="T52" s="6"/>
    </row>
    <row r="53" spans="1:20" ht="20.100000000000001" customHeight="1" x14ac:dyDescent="0.25">
      <c r="A53" s="5"/>
      <c r="B53" s="5"/>
      <c r="C53" s="27"/>
      <c r="D53" s="25" t="s">
        <v>94</v>
      </c>
      <c r="E53" s="25"/>
      <c r="F53" s="25"/>
      <c r="G53" s="25"/>
      <c r="H53" s="25"/>
      <c r="I53" s="25"/>
      <c r="J53" s="25"/>
      <c r="K53" s="25"/>
      <c r="L53" s="25"/>
      <c r="M53" s="25"/>
      <c r="N53" s="28"/>
      <c r="O53" s="5"/>
      <c r="P53" s="5"/>
      <c r="Q53" s="5"/>
      <c r="R53" s="5"/>
      <c r="S53" s="5"/>
      <c r="T53" s="5"/>
    </row>
    <row r="54" spans="1:20" ht="20.100000000000001" customHeight="1" x14ac:dyDescent="0.25">
      <c r="A54" s="5"/>
      <c r="B54" s="5"/>
      <c r="C54" s="27"/>
      <c r="D54" s="25"/>
      <c r="E54" s="25" t="s">
        <v>91</v>
      </c>
      <c r="F54" s="25"/>
      <c r="G54" s="25"/>
      <c r="H54" s="41"/>
      <c r="I54" s="25"/>
      <c r="J54" s="25"/>
      <c r="K54" s="25"/>
      <c r="L54" s="25"/>
      <c r="M54" s="25"/>
      <c r="N54" s="28"/>
      <c r="O54" s="5"/>
      <c r="P54" s="5"/>
      <c r="Q54" s="5"/>
      <c r="R54" s="5"/>
      <c r="S54" s="5"/>
      <c r="T54" s="5"/>
    </row>
    <row r="55" spans="1:20" ht="20.100000000000001" customHeight="1" x14ac:dyDescent="0.25">
      <c r="A55" s="1"/>
      <c r="B55" s="1"/>
      <c r="C55" s="27"/>
      <c r="D55" s="25"/>
      <c r="E55" s="44" t="s">
        <v>92</v>
      </c>
      <c r="F55" s="45">
        <f>0.27*(1-'Biapoiada 2'!D33/250)*(('Biapoiada 2'!D33/10)/1.4)*'Biapoiada 1'!C11*'Biapoiada 3'!Q20</f>
        <v>112.84457142857144</v>
      </c>
      <c r="G55" s="41" t="s">
        <v>16</v>
      </c>
      <c r="H55" s="73">
        <f>F55</f>
        <v>112.84457142857144</v>
      </c>
      <c r="I55" s="25"/>
      <c r="J55" s="25"/>
      <c r="K55" s="25"/>
      <c r="L55" s="25"/>
      <c r="M55" s="25"/>
      <c r="N55" s="28"/>
      <c r="O55" s="1"/>
      <c r="P55" s="1"/>
      <c r="Q55" s="1"/>
      <c r="R55" s="1"/>
      <c r="S55" s="1"/>
      <c r="T55" s="1"/>
    </row>
    <row r="56" spans="1:20" ht="20.100000000000001" customHeight="1" x14ac:dyDescent="0.25">
      <c r="A56" s="1"/>
      <c r="B56" s="1"/>
      <c r="C56" s="27"/>
      <c r="D56" s="25"/>
      <c r="E56" s="25"/>
      <c r="F56" s="25"/>
      <c r="G56" s="25"/>
      <c r="H56" s="41"/>
      <c r="I56" s="25"/>
      <c r="J56" s="25"/>
      <c r="K56" s="25"/>
      <c r="L56" s="25"/>
      <c r="M56" s="25"/>
      <c r="N56" s="28"/>
      <c r="O56" s="1"/>
      <c r="P56" s="1"/>
      <c r="Q56" s="1"/>
      <c r="R56" s="1"/>
      <c r="S56" s="1"/>
      <c r="T56" s="1"/>
    </row>
    <row r="57" spans="1:20" ht="20.100000000000001" customHeight="1" x14ac:dyDescent="0.25">
      <c r="A57" s="1"/>
      <c r="B57" s="1"/>
      <c r="C57" s="27"/>
      <c r="D57" s="25"/>
      <c r="E57" s="35" t="s">
        <v>93</v>
      </c>
      <c r="F57" s="35"/>
      <c r="G57" s="35"/>
      <c r="H57" s="35"/>
      <c r="I57" s="35"/>
      <c r="J57" s="25"/>
      <c r="K57" s="25"/>
      <c r="L57" s="25"/>
      <c r="M57" s="25"/>
      <c r="N57" s="28"/>
      <c r="O57" s="1"/>
      <c r="P57" s="1"/>
      <c r="Q57" s="1"/>
      <c r="R57" s="1"/>
      <c r="S57" s="1"/>
      <c r="T57" s="1"/>
    </row>
    <row r="58" spans="1:20" ht="20.100000000000001" customHeight="1" x14ac:dyDescent="0.25">
      <c r="A58" s="1"/>
      <c r="B58" s="1"/>
      <c r="C58" s="27"/>
      <c r="D58" s="25"/>
      <c r="E58" s="66" t="s">
        <v>95</v>
      </c>
      <c r="F58" s="45">
        <f>0.6*'Biapoiada 1'!C11*'Biapoiada 3'!Q20*(((((0.3*'Biapoiada 2'!D33^(2/3))*0.7)/1.4))/10)</f>
        <v>21.087396298217566</v>
      </c>
      <c r="G58" s="41" t="s">
        <v>16</v>
      </c>
      <c r="H58" s="41"/>
      <c r="I58" s="25"/>
      <c r="J58" s="25"/>
      <c r="K58" s="25"/>
      <c r="L58" s="25"/>
      <c r="M58" s="25"/>
      <c r="N58" s="28"/>
      <c r="O58" s="1"/>
      <c r="P58" s="1"/>
      <c r="Q58" s="1"/>
      <c r="R58" s="1"/>
      <c r="S58" s="1"/>
      <c r="T58" s="1"/>
    </row>
    <row r="59" spans="1:20" ht="20.100000000000001" customHeight="1" x14ac:dyDescent="0.25">
      <c r="A59" s="1"/>
      <c r="B59" s="1"/>
      <c r="C59" s="27"/>
      <c r="D59" s="25"/>
      <c r="E59" s="25"/>
      <c r="F59" s="25"/>
      <c r="G59" s="25"/>
      <c r="H59" s="41"/>
      <c r="I59" s="25"/>
      <c r="J59" s="25"/>
      <c r="K59" s="25"/>
      <c r="L59" s="25"/>
      <c r="M59" s="25"/>
      <c r="N59" s="28"/>
      <c r="O59" s="1"/>
      <c r="P59" s="1"/>
      <c r="Q59" s="1"/>
      <c r="R59" s="1"/>
      <c r="S59" s="1"/>
      <c r="T59" s="1"/>
    </row>
    <row r="60" spans="1:20" ht="20.100000000000001" customHeight="1" x14ac:dyDescent="0.25">
      <c r="A60" s="1"/>
      <c r="B60" s="1"/>
      <c r="C60" s="27"/>
      <c r="D60" s="25"/>
      <c r="E60" s="25" t="s">
        <v>96</v>
      </c>
      <c r="F60" s="25"/>
      <c r="G60" s="25"/>
      <c r="H60" s="41"/>
      <c r="I60" s="25"/>
      <c r="J60" s="25"/>
      <c r="K60" s="25"/>
      <c r="L60" s="25"/>
      <c r="M60" s="25"/>
      <c r="N60" s="28"/>
      <c r="O60" s="1"/>
      <c r="P60" s="1"/>
      <c r="Q60" s="1"/>
      <c r="R60" s="1"/>
      <c r="S60" s="1"/>
      <c r="T60" s="1"/>
    </row>
    <row r="61" spans="1:20" ht="20.100000000000001" customHeight="1" x14ac:dyDescent="0.25">
      <c r="A61" s="1"/>
      <c r="B61" s="1"/>
      <c r="C61" s="27"/>
      <c r="D61" s="25"/>
      <c r="E61" s="44" t="s">
        <v>97</v>
      </c>
      <c r="F61" s="45">
        <f>F55-F58</f>
        <v>91.757175130353872</v>
      </c>
      <c r="G61" s="41" t="s">
        <v>16</v>
      </c>
      <c r="H61" s="41"/>
      <c r="I61" s="25"/>
      <c r="J61" s="25"/>
      <c r="K61" s="25"/>
      <c r="L61" s="25"/>
      <c r="M61" s="25"/>
      <c r="N61" s="28"/>
      <c r="O61" s="1"/>
      <c r="P61" s="1"/>
      <c r="Q61" s="1"/>
      <c r="R61" s="1"/>
      <c r="S61" s="1"/>
      <c r="T61" s="1"/>
    </row>
    <row r="62" spans="1:20" ht="20.100000000000001" customHeight="1" x14ac:dyDescent="0.25">
      <c r="A62" s="1"/>
      <c r="B62" s="1"/>
      <c r="C62" s="27"/>
      <c r="D62" s="25"/>
      <c r="E62" s="25"/>
      <c r="F62" s="25"/>
      <c r="G62" s="25"/>
      <c r="H62" s="41"/>
      <c r="I62" s="25"/>
      <c r="J62" s="25"/>
      <c r="K62" s="25"/>
      <c r="L62" s="25"/>
      <c r="M62" s="25"/>
      <c r="N62" s="28"/>
      <c r="O62" s="1"/>
      <c r="P62" s="1"/>
      <c r="Q62" s="1"/>
      <c r="R62" s="1"/>
      <c r="S62" s="1"/>
      <c r="T62" s="1"/>
    </row>
    <row r="63" spans="1:20" ht="20.100000000000001" customHeight="1" x14ac:dyDescent="0.25">
      <c r="A63" s="1"/>
      <c r="B63" s="1"/>
      <c r="C63" s="27"/>
      <c r="D63" s="25"/>
      <c r="E63" s="25" t="s">
        <v>98</v>
      </c>
      <c r="F63" s="25"/>
      <c r="G63" s="25"/>
      <c r="H63" s="41"/>
      <c r="I63" s="25"/>
      <c r="J63" s="25"/>
      <c r="K63" s="25"/>
      <c r="L63" s="25"/>
      <c r="M63" s="25"/>
      <c r="N63" s="28"/>
      <c r="O63" s="1"/>
      <c r="P63" s="1"/>
      <c r="Q63" s="1"/>
      <c r="R63" s="1"/>
      <c r="S63" s="1"/>
      <c r="T63" s="1"/>
    </row>
    <row r="64" spans="1:20" ht="20.100000000000001" customHeight="1" x14ac:dyDescent="0.25">
      <c r="A64" s="1"/>
      <c r="B64" s="1"/>
      <c r="C64" s="27"/>
      <c r="D64" s="25"/>
      <c r="E64" s="44" t="s">
        <v>99</v>
      </c>
      <c r="F64" s="45">
        <f>(F61/(0.9*Q20*(50/1.15)))*100</f>
        <v>8.8487003270362212</v>
      </c>
      <c r="G64" s="41" t="s">
        <v>100</v>
      </c>
      <c r="H64" s="41"/>
      <c r="I64" s="25"/>
      <c r="J64" s="25"/>
      <c r="K64" s="25"/>
      <c r="L64" s="25"/>
      <c r="M64" s="25"/>
      <c r="N64" s="28"/>
      <c r="O64" s="1"/>
      <c r="P64" s="1"/>
      <c r="Q64" s="1"/>
      <c r="R64" s="1"/>
      <c r="S64" s="1"/>
      <c r="T64" s="1"/>
    </row>
    <row r="65" spans="1:20" ht="20.100000000000001" customHeight="1" x14ac:dyDescent="0.25">
      <c r="A65" s="1"/>
      <c r="B65" s="1"/>
      <c r="C65" s="27"/>
      <c r="D65" s="25"/>
      <c r="E65" s="44" t="s">
        <v>101</v>
      </c>
      <c r="F65" s="45">
        <f>ROUNDDOWN((((2*(3.1415*(('Biapoiada 2'!D30/10)^2)/4))*0.9*(50/1.15)*Q20)/F61),0.1)</f>
        <v>4</v>
      </c>
      <c r="G65" s="41" t="s">
        <v>6</v>
      </c>
      <c r="H65" s="69"/>
      <c r="I65" s="25"/>
      <c r="J65" s="25"/>
      <c r="K65" s="25"/>
      <c r="L65" s="25"/>
      <c r="M65" s="25"/>
      <c r="N65" s="28"/>
      <c r="O65" s="1"/>
      <c r="P65" s="1"/>
      <c r="Q65" s="1"/>
      <c r="R65" s="1"/>
      <c r="S65" s="1"/>
      <c r="T65" s="1"/>
    </row>
    <row r="66" spans="1:20" ht="20.100000000000001" customHeight="1" x14ac:dyDescent="0.25">
      <c r="A66" s="1"/>
      <c r="B66" s="1"/>
      <c r="C66" s="27"/>
      <c r="D66" s="25"/>
      <c r="E66" s="33"/>
      <c r="F66" s="25"/>
      <c r="G66" s="25"/>
      <c r="H66" s="41"/>
      <c r="I66" s="25"/>
      <c r="J66" s="25"/>
      <c r="K66" s="25"/>
      <c r="L66" s="25"/>
      <c r="M66" s="25"/>
      <c r="N66" s="28"/>
      <c r="O66" s="1"/>
      <c r="P66" s="1"/>
      <c r="Q66" s="1"/>
      <c r="R66" s="1"/>
      <c r="S66" s="1"/>
      <c r="T66" s="1"/>
    </row>
    <row r="67" spans="1:20" ht="20.100000000000001" customHeight="1" x14ac:dyDescent="0.25">
      <c r="A67" s="1"/>
      <c r="B67" s="1"/>
      <c r="C67" s="27"/>
      <c r="D67" s="25"/>
      <c r="E67" s="25" t="s">
        <v>102</v>
      </c>
      <c r="F67" s="25"/>
      <c r="G67" s="25"/>
      <c r="H67" s="41"/>
      <c r="I67" s="25"/>
      <c r="J67" s="25"/>
      <c r="K67" s="25"/>
      <c r="L67" s="25"/>
      <c r="M67" s="25"/>
      <c r="N67" s="28"/>
      <c r="O67" s="1"/>
      <c r="P67" s="1"/>
      <c r="Q67" s="1"/>
      <c r="R67" s="1"/>
      <c r="S67" s="1"/>
      <c r="T67" s="1"/>
    </row>
    <row r="68" spans="1:20" ht="20.100000000000001" customHeight="1" x14ac:dyDescent="0.25">
      <c r="A68" s="1"/>
      <c r="B68" s="1"/>
      <c r="C68" s="27"/>
      <c r="D68" s="25"/>
      <c r="E68" s="44" t="s">
        <v>103</v>
      </c>
      <c r="F68" s="36">
        <f>(0.1*'Biapoiada 1'!C11)*10</f>
        <v>12.000000000000002</v>
      </c>
      <c r="G68" s="41" t="s">
        <v>28</v>
      </c>
      <c r="H68" s="74">
        <f>F68</f>
        <v>12.000000000000002</v>
      </c>
      <c r="I68" s="25"/>
      <c r="J68" s="25"/>
      <c r="K68" s="25"/>
      <c r="L68" s="25"/>
      <c r="M68" s="25"/>
      <c r="N68" s="28"/>
      <c r="O68" s="1"/>
      <c r="P68" s="1"/>
      <c r="Q68" s="1"/>
      <c r="R68" s="1"/>
      <c r="S68" s="1"/>
      <c r="T68" s="1"/>
    </row>
    <row r="69" spans="1:20" ht="20.100000000000001" customHeight="1" x14ac:dyDescent="0.25">
      <c r="A69" s="1"/>
      <c r="B69" s="1"/>
      <c r="C69" s="27"/>
      <c r="D69" s="25"/>
      <c r="E69" s="25"/>
      <c r="F69" s="25"/>
      <c r="G69" s="25"/>
      <c r="H69" s="41"/>
      <c r="I69" s="25"/>
      <c r="J69" s="25"/>
      <c r="K69" s="25"/>
      <c r="L69" s="25"/>
      <c r="M69" s="25"/>
      <c r="N69" s="28"/>
      <c r="O69" s="1"/>
      <c r="P69" s="1"/>
      <c r="Q69" s="1"/>
      <c r="R69" s="1"/>
      <c r="S69" s="1"/>
      <c r="T69" s="1"/>
    </row>
    <row r="70" spans="1:20" ht="20.100000000000001" customHeight="1" x14ac:dyDescent="0.25">
      <c r="A70" s="1"/>
      <c r="B70" s="1"/>
      <c r="C70" s="27"/>
      <c r="D70" s="25" t="s">
        <v>104</v>
      </c>
      <c r="E70" s="25"/>
      <c r="F70" s="25"/>
      <c r="G70" s="25"/>
      <c r="H70" s="41"/>
      <c r="I70" s="25"/>
      <c r="J70" s="25"/>
      <c r="K70" s="25"/>
      <c r="L70" s="25"/>
      <c r="M70" s="25"/>
      <c r="N70" s="28"/>
      <c r="O70" s="1"/>
      <c r="P70" s="1"/>
      <c r="Q70" s="1"/>
      <c r="R70" s="1"/>
      <c r="S70" s="1"/>
      <c r="T70" s="1"/>
    </row>
    <row r="71" spans="1:20" ht="20.100000000000001" customHeight="1" x14ac:dyDescent="0.25">
      <c r="A71" s="1"/>
      <c r="B71" s="1"/>
      <c r="C71" s="27"/>
      <c r="D71" s="25"/>
      <c r="E71" s="32" t="s">
        <v>112</v>
      </c>
      <c r="F71" s="25">
        <f>IF('Biapoiada 2'!D27="CAA I",'Biapoiada 2'!S90,IF('Biapoiada 2'!D27="CAA II",'Biapoiada 2'!S91,IF('Biapoiada 2'!D27="CAA III",'Biapoiada 2'!S92,IF('Biapoiada 2'!D27="CAA IV",'Biapoiada 2'!S93,))))</f>
        <v>0.3</v>
      </c>
      <c r="G71" s="25"/>
      <c r="H71" s="41"/>
      <c r="I71" s="25"/>
      <c r="J71" s="25"/>
      <c r="K71" s="25"/>
      <c r="L71" s="25"/>
      <c r="M71" s="25"/>
      <c r="N71" s="28"/>
      <c r="O71" s="1"/>
      <c r="P71" s="1"/>
      <c r="Q71" s="1"/>
      <c r="R71" s="1"/>
      <c r="S71" s="1"/>
      <c r="T71" s="1"/>
    </row>
    <row r="72" spans="1:20" ht="20.100000000000001" customHeight="1" x14ac:dyDescent="0.25">
      <c r="A72" s="1"/>
      <c r="B72" s="1"/>
      <c r="C72" s="27"/>
      <c r="D72" s="25"/>
      <c r="E72" s="32" t="s">
        <v>113</v>
      </c>
      <c r="F72" s="25">
        <f>('Biapoiada 2'!D29/(12.5*2.25))</f>
        <v>0.35555555555555557</v>
      </c>
      <c r="G72" s="25"/>
      <c r="H72" s="41"/>
      <c r="I72" s="25"/>
      <c r="J72" s="25"/>
      <c r="K72" s="25"/>
      <c r="L72" s="25"/>
      <c r="M72" s="25"/>
      <c r="N72" s="28"/>
      <c r="O72" s="1"/>
      <c r="P72" s="1"/>
      <c r="Q72" s="1"/>
      <c r="R72" s="1"/>
      <c r="S72" s="1"/>
      <c r="T72" s="1"/>
    </row>
    <row r="73" spans="1:20" ht="20.100000000000001" customHeight="1" x14ac:dyDescent="0.25">
      <c r="A73" s="1"/>
      <c r="B73" s="1"/>
      <c r="C73" s="27"/>
      <c r="D73" s="25"/>
      <c r="E73" s="25"/>
      <c r="F73" s="25"/>
      <c r="G73" s="25"/>
      <c r="H73" s="41"/>
      <c r="I73" s="25"/>
      <c r="J73" s="25"/>
      <c r="K73" s="25"/>
      <c r="L73" s="25"/>
      <c r="M73" s="25"/>
      <c r="N73" s="28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27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8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27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8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27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8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27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8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27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8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27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8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27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8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27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27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8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27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8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2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8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27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8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2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8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2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8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2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8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27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8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27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8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27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8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27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8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27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8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27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8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27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8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27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8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27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8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27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8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27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8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27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8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27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8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27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8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27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8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27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8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27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8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27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8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27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8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27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8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27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8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27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8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27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8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27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8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27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8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27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8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27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8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27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8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27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8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27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8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27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8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27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8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27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8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27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8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27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8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2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8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2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8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27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8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27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8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27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8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27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8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2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1"/>
      <c r="P130" s="1"/>
      <c r="Q130" s="1"/>
      <c r="R130" s="1"/>
      <c r="S130" s="1"/>
      <c r="T130" s="1"/>
    </row>
  </sheetData>
  <mergeCells count="4">
    <mergeCell ref="C1:T1"/>
    <mergeCell ref="V20:AA20"/>
    <mergeCell ref="I29:L29"/>
    <mergeCell ref="P21:R21"/>
  </mergeCells>
  <phoneticPr fontId="7" type="noConversion"/>
  <conditionalFormatting sqref="F24">
    <cfRule type="iconSet" priority="8">
      <iconSet iconSet="3Symbols2" showValue="0">
        <cfvo type="percent" val="0"/>
        <cfvo type="num" val="10" gte="0"/>
        <cfvo type="num" val="10"/>
      </iconSet>
    </cfRule>
  </conditionalFormatting>
  <conditionalFormatting sqref="F26">
    <cfRule type="iconSet" priority="7">
      <iconSet iconSet="3Symbols2" showValue="0">
        <cfvo type="percent" val="0"/>
        <cfvo type="num" val="5"/>
        <cfvo type="num" val="5"/>
      </iconSet>
    </cfRule>
  </conditionalFormatting>
  <conditionalFormatting sqref="H40">
    <cfRule type="iconSet" priority="5">
      <iconSet iconSet="3Symbols2" showValue="0">
        <cfvo type="percent" val="0"/>
        <cfvo type="num" val="$F$40"/>
        <cfvo type="num" val="$F$40" gte="0"/>
      </iconSet>
    </cfRule>
  </conditionalFormatting>
  <conditionalFormatting sqref="F46">
    <cfRule type="iconSet" priority="4">
      <iconSet iconSet="3Symbols2" showValue="0">
        <cfvo type="percent" val="0"/>
        <cfvo type="num" val="$F$44"/>
        <cfvo type="num" val="$F$44"/>
      </iconSet>
    </cfRule>
  </conditionalFormatting>
  <conditionalFormatting sqref="F51">
    <cfRule type="iconSet" priority="3">
      <iconSet iconSet="3Symbols2" showValue="0">
        <cfvo type="percent" val="0"/>
        <cfvo type="num" val="$F$50" gte="0"/>
        <cfvo type="num" val="$F$50"/>
      </iconSet>
    </cfRule>
  </conditionalFormatting>
  <conditionalFormatting sqref="H55">
    <cfRule type="iconSet" priority="2">
      <iconSet iconSet="3Symbols2" showValue="0">
        <cfvo type="percent" val="0"/>
        <cfvo type="num" val="$E$33"/>
        <cfvo type="num" val="$E$33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E32BA1E-7393-4461-BBCD-30C7FCC65D53}">
            <x14:iconSet iconSet="3Symbols2" showValue="0">
              <x14:cfvo type="percent">
                <xm:f>0</xm:f>
              </x14:cfvo>
              <x14:cfvo type="num">
                <xm:f>'Biapoiada 2'!$D$30</xm:f>
              </x14:cfvo>
              <x14:cfvo type="num">
                <xm:f>'Biapoiada 2'!$D$30</xm:f>
              </x14:cfvo>
            </x14:iconSet>
          </x14:cfRule>
          <xm:sqref>H68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7B28F-9506-4E97-B785-A0F5B8AE9E1B}">
  <sheetPr codeName="Planilha4"/>
  <dimension ref="A1:T72"/>
  <sheetViews>
    <sheetView workbookViewId="0"/>
  </sheetViews>
  <sheetFormatPr defaultRowHeight="15" x14ac:dyDescent="0.25"/>
  <sheetData>
    <row r="1" spans="1:20" ht="20.100000000000001" customHeight="1" x14ac:dyDescent="0.25">
      <c r="A1" s="10"/>
      <c r="B1" s="1"/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10000000000000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10000000000000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0.100000000000001" customHeight="1" x14ac:dyDescent="0.25"/>
    <row r="8" spans="1:20" ht="20.100000000000001" customHeight="1" x14ac:dyDescent="0.25"/>
    <row r="9" spans="1:20" ht="20.100000000000001" customHeight="1" x14ac:dyDescent="0.25"/>
    <row r="10" spans="1:20" ht="20.100000000000001" customHeight="1" x14ac:dyDescent="0.25"/>
    <row r="11" spans="1:20" ht="20.100000000000001" customHeight="1" x14ac:dyDescent="0.25"/>
    <row r="12" spans="1:20" ht="20.100000000000001" customHeight="1" x14ac:dyDescent="0.25"/>
    <row r="13" spans="1:20" ht="20.100000000000001" customHeight="1" x14ac:dyDescent="0.25"/>
    <row r="14" spans="1:20" ht="20.100000000000001" customHeight="1" x14ac:dyDescent="0.25"/>
    <row r="15" spans="1:20" ht="20.100000000000001" customHeight="1" x14ac:dyDescent="0.25"/>
    <row r="16" spans="1:2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1">
    <mergeCell ref="C1:T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BF1F-490F-40D7-8C76-1F87C5CD10F6}">
  <sheetPr codeName="Planilha5"/>
  <dimension ref="A1:T72"/>
  <sheetViews>
    <sheetView workbookViewId="0"/>
  </sheetViews>
  <sheetFormatPr defaultRowHeight="15" x14ac:dyDescent="0.25"/>
  <sheetData>
    <row r="1" spans="1:20" ht="20.100000000000001" customHeight="1" x14ac:dyDescent="0.25">
      <c r="A1" s="1"/>
      <c r="B1" s="1"/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10000000000000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10000000000000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0.100000000000001" customHeight="1" x14ac:dyDescent="0.25"/>
    <row r="8" spans="1:20" ht="20.100000000000001" customHeight="1" x14ac:dyDescent="0.25"/>
    <row r="9" spans="1:20" ht="20.100000000000001" customHeight="1" x14ac:dyDescent="0.25"/>
    <row r="10" spans="1:20" ht="20.100000000000001" customHeight="1" x14ac:dyDescent="0.25"/>
    <row r="11" spans="1:20" ht="20.100000000000001" customHeight="1" x14ac:dyDescent="0.25"/>
    <row r="12" spans="1:20" ht="20.100000000000001" customHeight="1" x14ac:dyDescent="0.25"/>
    <row r="13" spans="1:20" ht="20.100000000000001" customHeight="1" x14ac:dyDescent="0.25"/>
    <row r="14" spans="1:20" ht="20.100000000000001" customHeight="1" x14ac:dyDescent="0.25"/>
    <row r="15" spans="1:20" ht="20.100000000000001" customHeight="1" x14ac:dyDescent="0.25"/>
    <row r="16" spans="1:2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1">
    <mergeCell ref="C1:T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B7132-5750-4EE3-9F0D-1865BE643B86}">
  <sheetPr codeName="Planilha6"/>
  <dimension ref="A1:T72"/>
  <sheetViews>
    <sheetView workbookViewId="0"/>
  </sheetViews>
  <sheetFormatPr defaultRowHeight="15" x14ac:dyDescent="0.25"/>
  <sheetData>
    <row r="1" spans="1:20" ht="20.100000000000001" customHeight="1" x14ac:dyDescent="0.25">
      <c r="A1" s="1"/>
      <c r="B1" s="1"/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10000000000000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10000000000000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0.100000000000001" customHeight="1" x14ac:dyDescent="0.25"/>
    <row r="8" spans="1:20" ht="20.100000000000001" customHeight="1" x14ac:dyDescent="0.25"/>
    <row r="9" spans="1:20" ht="20.100000000000001" customHeight="1" x14ac:dyDescent="0.25"/>
    <row r="10" spans="1:20" ht="20.100000000000001" customHeight="1" x14ac:dyDescent="0.25"/>
    <row r="11" spans="1:20" ht="20.100000000000001" customHeight="1" x14ac:dyDescent="0.25"/>
    <row r="12" spans="1:20" ht="20.100000000000001" customHeight="1" x14ac:dyDescent="0.25"/>
    <row r="13" spans="1:20" ht="20.100000000000001" customHeight="1" x14ac:dyDescent="0.25"/>
    <row r="14" spans="1:20" ht="20.100000000000001" customHeight="1" x14ac:dyDescent="0.25"/>
    <row r="15" spans="1:20" ht="20.100000000000001" customHeight="1" x14ac:dyDescent="0.25"/>
    <row r="16" spans="1:2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1">
    <mergeCell ref="C1:T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0F33-FFB5-41CC-813C-29534D398DD3}">
  <sheetPr codeName="Planilha7"/>
  <dimension ref="A1:T72"/>
  <sheetViews>
    <sheetView workbookViewId="0"/>
  </sheetViews>
  <sheetFormatPr defaultRowHeight="15" x14ac:dyDescent="0.25"/>
  <sheetData>
    <row r="1" spans="1:20" ht="20.100000000000001" customHeight="1" x14ac:dyDescent="0.25">
      <c r="A1" s="1"/>
      <c r="B1" s="1"/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10000000000000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10000000000000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0.100000000000001" customHeight="1" x14ac:dyDescent="0.25"/>
    <row r="8" spans="1:20" ht="20.100000000000001" customHeight="1" x14ac:dyDescent="0.25"/>
    <row r="9" spans="1:20" ht="20.100000000000001" customHeight="1" x14ac:dyDescent="0.25"/>
    <row r="10" spans="1:20" ht="20.100000000000001" customHeight="1" x14ac:dyDescent="0.25"/>
    <row r="11" spans="1:20" ht="20.100000000000001" customHeight="1" x14ac:dyDescent="0.25"/>
    <row r="12" spans="1:20" ht="20.100000000000001" customHeight="1" x14ac:dyDescent="0.25"/>
    <row r="13" spans="1:20" ht="20.100000000000001" customHeight="1" x14ac:dyDescent="0.25"/>
    <row r="14" spans="1:20" ht="20.100000000000001" customHeight="1" x14ac:dyDescent="0.25"/>
    <row r="15" spans="1:20" ht="20.100000000000001" customHeight="1" x14ac:dyDescent="0.25"/>
    <row r="16" spans="1:2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1">
    <mergeCell ref="C1:T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2B0F-FAFC-4616-80E4-A8E3EA56C0DE}">
  <sheetPr codeName="Planilha8"/>
  <dimension ref="A1:T72"/>
  <sheetViews>
    <sheetView workbookViewId="0"/>
  </sheetViews>
  <sheetFormatPr defaultRowHeight="15" x14ac:dyDescent="0.25"/>
  <sheetData>
    <row r="1" spans="1:20" ht="20.100000000000001" customHeight="1" x14ac:dyDescent="0.25">
      <c r="A1" s="1"/>
      <c r="B1" s="1"/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10000000000000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10000000000000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0.100000000000001" customHeight="1" x14ac:dyDescent="0.25"/>
    <row r="8" spans="1:20" ht="20.100000000000001" customHeight="1" x14ac:dyDescent="0.25"/>
    <row r="9" spans="1:20" ht="20.100000000000001" customHeight="1" x14ac:dyDescent="0.25"/>
    <row r="10" spans="1:20" ht="20.100000000000001" customHeight="1" x14ac:dyDescent="0.25"/>
    <row r="11" spans="1:20" ht="20.100000000000001" customHeight="1" x14ac:dyDescent="0.25"/>
    <row r="12" spans="1:20" ht="20.100000000000001" customHeight="1" x14ac:dyDescent="0.25"/>
    <row r="13" spans="1:20" ht="20.100000000000001" customHeight="1" x14ac:dyDescent="0.25"/>
    <row r="14" spans="1:20" ht="20.100000000000001" customHeight="1" x14ac:dyDescent="0.25"/>
    <row r="15" spans="1:20" ht="20.100000000000001" customHeight="1" x14ac:dyDescent="0.25"/>
    <row r="16" spans="1:2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1">
    <mergeCell ref="C1:T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914A9-44FA-46DF-8015-0C8F36878808}">
  <sheetPr codeName="Planilha9"/>
  <dimension ref="A1:T72"/>
  <sheetViews>
    <sheetView workbookViewId="0">
      <selection activeCell="E15" sqref="E15"/>
    </sheetView>
  </sheetViews>
  <sheetFormatPr defaultRowHeight="15" x14ac:dyDescent="0.25"/>
  <sheetData>
    <row r="1" spans="1:20" ht="20.100000000000001" customHeight="1" x14ac:dyDescent="0.25">
      <c r="A1" s="1"/>
      <c r="B1" s="1"/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10000000000000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10000000000000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0.100000000000001" customHeight="1" x14ac:dyDescent="0.25"/>
    <row r="8" spans="1:20" ht="20.100000000000001" customHeight="1" x14ac:dyDescent="0.25"/>
    <row r="9" spans="1:20" ht="20.100000000000001" customHeight="1" x14ac:dyDescent="0.25"/>
    <row r="10" spans="1:20" ht="20.100000000000001" customHeight="1" x14ac:dyDescent="0.25"/>
    <row r="11" spans="1:20" ht="20.100000000000001" customHeight="1" x14ac:dyDescent="0.25"/>
    <row r="12" spans="1:20" ht="20.100000000000001" customHeight="1" x14ac:dyDescent="0.25"/>
    <row r="13" spans="1:20" ht="20.100000000000001" customHeight="1" x14ac:dyDescent="0.25"/>
    <row r="14" spans="1:20" ht="20.100000000000001" customHeight="1" x14ac:dyDescent="0.25"/>
    <row r="15" spans="1:20" ht="20.100000000000001" customHeight="1" x14ac:dyDescent="0.25"/>
    <row r="16" spans="1:2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1">
    <mergeCell ref="C1:T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Biapoiada 1</vt:lpstr>
      <vt:lpstr>Biapoiada 2</vt:lpstr>
      <vt:lpstr>Biapoiada 3</vt:lpstr>
      <vt:lpstr>Engastada 1</vt:lpstr>
      <vt:lpstr>Engastada 2</vt:lpstr>
      <vt:lpstr>Engastada 3</vt:lpstr>
      <vt:lpstr>Ap.-Eng. 1</vt:lpstr>
      <vt:lpstr>Ap.-Eng. 2</vt:lpstr>
      <vt:lpstr>Ap.-Eng. 3</vt:lpstr>
      <vt:lpstr>Contínua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</dc:creator>
  <cp:lastModifiedBy>Kennedy marques</cp:lastModifiedBy>
  <cp:lastPrinted>2020-08-25T13:01:32Z</cp:lastPrinted>
  <dcterms:created xsi:type="dcterms:W3CDTF">2020-08-24T18:35:33Z</dcterms:created>
  <dcterms:modified xsi:type="dcterms:W3CDTF">2020-08-28T19:32:58Z</dcterms:modified>
</cp:coreProperties>
</file>